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Library/CloudStorage/Dropbox/"/>
    </mc:Choice>
  </mc:AlternateContent>
  <xr:revisionPtr revIDLastSave="0" documentId="13_ncr:1_{295E10DD-5E3F-914A-B04F-FE53893A365E}" xr6:coauthVersionLast="47" xr6:coauthVersionMax="47" xr10:uidLastSave="{00000000-0000-0000-0000-000000000000}"/>
  <bookViews>
    <workbookView xWindow="4200" yWindow="2460" windowWidth="28040" windowHeight="17440" activeTab="6" xr2:uid="{234D3629-A973-D04E-93AE-20E06D5B5DDB}"/>
  </bookViews>
  <sheets>
    <sheet name="WithHeaders" sheetId="1" r:id="rId1"/>
    <sheet name="Sheet2" sheetId="2" r:id="rId2"/>
    <sheet name="Hidden" sheetId="3" r:id="rId3"/>
    <sheet name="filters" sheetId="4" r:id="rId4"/>
    <sheet name="Functions Filters" sheetId="5" r:id="rId5"/>
    <sheet name="Functions Hidden" sheetId="6" r:id="rId6"/>
    <sheet name="No Headers" sheetId="7" r:id="rId7"/>
    <sheet name="Escape" sheetId="8" r:id="rId8"/>
    <sheet name="Sheet1" sheetId="9" r:id="rId9"/>
  </sheets>
  <definedNames>
    <definedName name="Fancy">Sheet2!$B$11</definedName>
    <definedName name="Hello" localSheetId="4">'Functions Filters'!$L$4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9" l="1"/>
  <c r="A11" i="9"/>
  <c r="D6" i="9"/>
  <c r="D5" i="9"/>
  <c r="A8" i="9"/>
  <c r="A7" i="9"/>
  <c r="A6" i="9"/>
  <c r="A5" i="9"/>
  <c r="E17" i="8"/>
  <c r="K38" i="6"/>
  <c r="A23" i="1"/>
  <c r="C10" i="8"/>
  <c r="C9" i="8"/>
  <c r="C8" i="8"/>
  <c r="C7" i="8"/>
  <c r="D61" i="6"/>
  <c r="D60" i="6"/>
  <c r="E49" i="5"/>
  <c r="E48" i="5"/>
  <c r="D59" i="6"/>
  <c r="D58" i="6"/>
  <c r="D57" i="6"/>
  <c r="D27" i="5"/>
  <c r="D46" i="5" s="1"/>
  <c r="D56" i="6"/>
  <c r="D55" i="6"/>
  <c r="D54" i="6"/>
  <c r="D53" i="6"/>
  <c r="E6" i="8"/>
  <c r="E2" i="8"/>
  <c r="E3" i="8"/>
  <c r="E4" i="8"/>
  <c r="E5" i="8"/>
  <c r="C6" i="8"/>
  <c r="B6" i="8"/>
  <c r="D6" i="8"/>
  <c r="E11" i="7"/>
  <c r="B8" i="7"/>
  <c r="F3" i="7"/>
  <c r="F8" i="7" s="1"/>
  <c r="F4" i="7"/>
  <c r="F5" i="7"/>
  <c r="F6" i="7"/>
  <c r="F7" i="7"/>
  <c r="D8" i="7"/>
  <c r="C8" i="7"/>
  <c r="E8" i="7"/>
  <c r="E46" i="6"/>
  <c r="E52" i="6"/>
  <c r="E51" i="6"/>
  <c r="M11" i="6"/>
  <c r="M10" i="6"/>
  <c r="M9" i="6"/>
  <c r="N8" i="6"/>
  <c r="M8" i="6"/>
  <c r="O7" i="6"/>
  <c r="O6" i="6"/>
  <c r="O5" i="6"/>
  <c r="O4" i="6"/>
  <c r="O3" i="6"/>
  <c r="O2" i="6"/>
  <c r="D49" i="6"/>
  <c r="D48" i="6"/>
  <c r="F2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E47" i="6"/>
  <c r="D47" i="6"/>
  <c r="D46" i="6"/>
  <c r="D45" i="6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F2" i="5"/>
  <c r="E45" i="6"/>
  <c r="D19" i="5"/>
  <c r="E45" i="5"/>
  <c r="B15" i="3"/>
  <c r="B7" i="3"/>
  <c r="B11" i="3" s="1"/>
  <c r="D13" i="3" s="1"/>
  <c r="I5" i="3"/>
  <c r="H5" i="3"/>
  <c r="L3" i="1"/>
  <c r="I4" i="1"/>
  <c r="J3" i="1"/>
  <c r="I3" i="1"/>
  <c r="F3" i="1"/>
  <c r="F2" i="1"/>
  <c r="F4" i="1"/>
  <c r="C11" i="4"/>
  <c r="B10" i="4"/>
  <c r="B10" i="3"/>
  <c r="B9" i="3"/>
  <c r="B8" i="3"/>
  <c r="B9" i="4"/>
  <c r="B8" i="4"/>
  <c r="A7" i="4"/>
  <c r="C7" i="4"/>
  <c r="B7" i="4"/>
  <c r="B11" i="4" s="1"/>
  <c r="D7" i="4"/>
  <c r="C6" i="3"/>
  <c r="B6" i="3"/>
  <c r="D6" i="3"/>
  <c r="C12" i="4"/>
  <c r="B12" i="4"/>
  <c r="D48" i="5" l="1"/>
  <c r="D45" i="5"/>
  <c r="D54" i="5" s="1"/>
  <c r="F27" i="5"/>
  <c r="D50" i="5"/>
  <c r="D52" i="5"/>
  <c r="D51" i="5"/>
  <c r="D53" i="5"/>
  <c r="O8" i="6"/>
  <c r="F45" i="6"/>
  <c r="F45" i="5"/>
  <c r="D49" i="5"/>
  <c r="D47" i="5"/>
  <c r="F16" i="1"/>
  <c r="F15" i="1"/>
  <c r="F4" i="2"/>
  <c r="H2" i="2"/>
  <c r="C9" i="1"/>
  <c r="E5" i="1"/>
  <c r="D5" i="1"/>
  <c r="C5" i="1"/>
  <c r="B5" i="1" l="1"/>
  <c r="F5" i="1"/>
  <c r="A9" i="1" s="1"/>
  <c r="F17" i="1"/>
  <c r="F18" i="1"/>
  <c r="F14" i="1" l="1"/>
</calcChain>
</file>

<file path=xl/sharedStrings.xml><?xml version="1.0" encoding="utf-8"?>
<sst xmlns="http://schemas.openxmlformats.org/spreadsheetml/2006/main" count="350" uniqueCount="74">
  <si>
    <t>Jan</t>
  </si>
  <si>
    <t>Feb</t>
  </si>
  <si>
    <t>Mar</t>
  </si>
  <si>
    <t>Apr</t>
  </si>
  <si>
    <t>Dec</t>
  </si>
  <si>
    <t>Year</t>
  </si>
  <si>
    <t>Total</t>
  </si>
  <si>
    <t>Column1</t>
  </si>
  <si>
    <t>Column2</t>
  </si>
  <si>
    <t>Column3</t>
  </si>
  <si>
    <t>Column4</t>
  </si>
  <si>
    <t>The one</t>
  </si>
  <si>
    <t xml:space="preserve">the two </t>
  </si>
  <si>
    <t>three</t>
  </si>
  <si>
    <t>last</t>
  </si>
  <si>
    <t>Dogs</t>
  </si>
  <si>
    <t>Cats</t>
  </si>
  <si>
    <t>Elephants</t>
  </si>
  <si>
    <t>Tigers</t>
  </si>
  <si>
    <t>&lt;=SUBTOTALS IGNORE SUBTOTALS</t>
  </si>
  <si>
    <t>&lt;=SUBTOTALS 109 IGNORE HIDDEN</t>
  </si>
  <si>
    <t>&lt;= SUBTOTALs 9 DON NOT IGNORE HIDDEN</t>
  </si>
  <si>
    <t>&lt;= SUBTOTALs both 9 and 109 ignore filtered out</t>
  </si>
  <si>
    <t>B2</t>
  </si>
  <si>
    <t>B7</t>
  </si>
  <si>
    <t>&lt;= I inist subtotals ignore subtotals</t>
  </si>
  <si>
    <t>Region</t>
  </si>
  <si>
    <t>Rep</t>
  </si>
  <si>
    <t>Item</t>
  </si>
  <si>
    <t>Units</t>
  </si>
  <si>
    <t>Andrews</t>
  </si>
  <si>
    <t>Howard</t>
  </si>
  <si>
    <t>Parent</t>
  </si>
  <si>
    <t>Unit Cost</t>
  </si>
  <si>
    <t>&lt;= Average 101</t>
  </si>
  <si>
    <t>&lt;= Average 1</t>
  </si>
  <si>
    <t>&lt;= Hidden rows has a #NA</t>
  </si>
  <si>
    <t>&lt;= min</t>
  </si>
  <si>
    <t>&lt;= #DATA</t>
  </si>
  <si>
    <t>Lowel</t>
  </si>
  <si>
    <t>Andres</t>
  </si>
  <si>
    <t>Ivan</t>
  </si>
  <si>
    <t>Diarmuid</t>
  </si>
  <si>
    <t>Town</t>
  </si>
  <si>
    <t>Esteban</t>
  </si>
  <si>
    <t>Mira</t>
  </si>
  <si>
    <t>UK</t>
  </si>
  <si>
    <t>Note that UK has a #NA</t>
  </si>
  <si>
    <t>Germany</t>
  </si>
  <si>
    <t>Spain</t>
  </si>
  <si>
    <t>Ken</t>
  </si>
  <si>
    <t>TV</t>
  </si>
  <si>
    <t>Computer</t>
  </si>
  <si>
    <t>Qwerty</t>
  </si>
  <si>
    <t>Albatros</t>
  </si>
  <si>
    <t>Bird</t>
  </si>
  <si>
    <t>60</t>
  </si>
  <si>
    <t>,= Wrong number</t>
  </si>
  <si>
    <t>&lt;= number is truncated</t>
  </si>
  <si>
    <t>NOTE FOR A TEST: Hidde column 3 for table in the left but filtered for table in the right</t>
  </si>
  <si>
    <t>"Hope" is the thing without Headers.. that perches in the soul, and sings the tune without the words. And never stops... at all</t>
  </si>
  <si>
    <t>No Headers, no cry</t>
  </si>
  <si>
    <t>#Shame</t>
  </si>
  <si>
    <t>[Not me]</t>
  </si>
  <si>
    <t>#</t>
  </si>
  <si>
    <t>e</t>
  </si>
  <si>
    <t>Totals []^&amp;*@#$,,&lt;&gt;</t>
  </si>
  <si>
    <t>32</t>
  </si>
  <si>
    <t>Hi, 'This</t>
  </si>
  <si>
    <t>Where sheets are</t>
  </si>
  <si>
    <t>&lt;= Table 1</t>
  </si>
  <si>
    <t>Hi I'm a defined name</t>
  </si>
  <si>
    <t>Defined names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</si>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</sst>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</fills>
  <borders count="4">
    <border>
      <left/>
      <right/>
      <top/>
      <bottom/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7">
    <xf numFmtId="0" fontId="0" fillId="0" borderId="0" xfId="0"/>
    <xf numFmtId="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43" fontId="0" fillId="0" borderId="0" xfId="1" applyFont="1" applyFill="1" applyBorder="1" applyAlignment="1" applyProtection="1">
      <alignment horizontal="left" vertical="center"/>
    </xf>
    <xf numFmtId="43" fontId="0" fillId="0" borderId="0" xfId="1" applyFont="1" applyFill="1" applyBorder="1" applyAlignment="1" applyProtection="1">
      <alignment vertical="center"/>
    </xf>
    <xf numFmtId="43" fontId="0" fillId="0" borderId="0" xfId="0" applyNumberFormat="1"/>
    <xf numFmtId="0" fontId="0" fillId="0" borderId="0" xfId="0" quotePrefix="1" applyAlignment="1" applyProtection="1">
      <alignment vertical="center"/>
      <protection locked="0"/>
    </xf>
    <xf numFmtId="9" fontId="0" fillId="0" borderId="0" xfId="0" applyNumberFormat="1" applyAlignment="1" applyProtection="1">
      <alignment vertical="center"/>
      <protection locked="0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left" vertical="center"/>
    </xf>
    <xf numFmtId="43" fontId="0" fillId="3" borderId="1" xfId="1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43" fontId="0" fillId="0" borderId="1" xfId="1" applyFont="1" applyBorder="1" applyAlignment="1">
      <alignment horizontal="left" vertical="center"/>
    </xf>
    <xf numFmtId="43" fontId="0" fillId="3" borderId="1" xfId="1" applyFont="1" applyFill="1" applyBorder="1" applyAlignment="1">
      <alignment vertical="center"/>
    </xf>
    <xf numFmtId="43" fontId="0" fillId="0" borderId="1" xfId="1" applyFont="1" applyBorder="1" applyAlignment="1">
      <alignment vertical="center"/>
    </xf>
    <xf numFmtId="1" fontId="3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43" fontId="0" fillId="0" borderId="3" xfId="1" applyFont="1" applyBorder="1" applyAlignment="1">
      <alignment horizontal="left" vertical="center"/>
    </xf>
    <xf numFmtId="43" fontId="0" fillId="0" borderId="3" xfId="1" applyFont="1" applyBorder="1" applyAlignment="1">
      <alignment vertical="center"/>
    </xf>
    <xf numFmtId="43" fontId="2" fillId="0" borderId="3" xfId="0" applyNumberFormat="1" applyFont="1" applyBorder="1" applyAlignment="1">
      <alignment vertical="center"/>
    </xf>
    <xf numFmtId="43" fontId="0" fillId="0" borderId="3" xfId="0" applyNumberForma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30"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7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5" formatCode="_-* #,##0.00_-;\-* #,##0.00_-;_-* &quot;-&quot;??_-;_-@_-"/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7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5" formatCode="_-* #,##0.00_-;\-* #,##0.00_-;_-* &quot;-&quot;??_-;_-@_-"/>
      <alignment horizontal="left" vertical="center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7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7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7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7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theme="7" tint="0.39997558519241921"/>
        </top>
      </border>
    </dxf>
    <dxf>
      <border outline="0"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</border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7"/>
          <bgColor theme="7"/>
        </patternFill>
      </fill>
      <alignment horizontal="left" vertical="center" textRotation="0" wrapText="0" indent="0" justifyLastLine="0" shrinkToFit="0" readingOrder="0"/>
    </dxf>
    <dxf>
      <numFmt numFmtId="35" formatCode="_-* #,##0.00_-;\-* #,##0.0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5" formatCode="_-* #,##0.00_-;\-* #,##0.00_-;_-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numFmt numFmtId="35" formatCode="_-* #,##0.00_-;\-* #,##0.0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alignment horizontal="general" vertical="center" textRotation="0" wrapText="0" indent="0" justifyLastLine="0" shrinkToFit="0" readingOrder="0"/>
      <protection locked="0" hidden="0"/>
    </dxf>
    <dxf>
      <alignment horizontal="left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numFmt numFmtId="35" formatCode="_-* #,##0.00_-;\-* #,##0.0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numFmt numFmtId="35" formatCode="_-* #,##0.00_-;\-* #,##0.00_-;_-* &quot;-&quot;??_-;_-@_-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12F933-6C1C-FB45-BCD6-90B9F78024B9}" name="Table1" displayName="Table1" ref="A1:F5" totalsRowCount="1">
  <autoFilter ref="A1:F4" xr:uid="{3612F933-6C1C-FB45-BCD6-90B9F78024B9}"/>
  <tableColumns count="6">
    <tableColumn id="1" xr3:uid="{B7607E65-8A9B-E74A-9B02-50AC112F4DE5}" name="Jan"/>
    <tableColumn id="2" xr3:uid="{2019991C-35AB-E340-A157-27D2563751E2}" name="Feb" totalsRowFunction="sum"/>
    <tableColumn id="3" xr3:uid="{81A707DF-D570-A24A-9857-A149BB4B3716}" name="Mar" totalsRowFunction="custom">
      <totalsRowFormula>SUBTOTAL(109,Table1[Apr])</totalsRowFormula>
    </tableColumn>
    <tableColumn id="4" xr3:uid="{EAB60CA7-224E-E148-A760-EB424EB2A193}" name="Apr" totalsRowFunction="sum"/>
    <tableColumn id="5" xr3:uid="{B522D1CB-9A2C-634E-BDD7-B62903431D77}" name="Dec" totalsRowFunction="sum"/>
    <tableColumn id="6" xr3:uid="{EA41A6B3-90DE-8243-83DD-288BE6A6D399}" name="Year" totalsRowFunction="sum" dataDxfId="29">
      <calculatedColumnFormula>SUM(Table1[[#This Row],[Jan]:[Dec]])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F160128-1857-0E46-ADE8-2BCD8CD44C4B}" name="Table2" displayName="Table2" ref="A1:D4" totalsRowShown="0">
  <autoFilter ref="A1:D4" xr:uid="{3F160128-1857-0E46-ADE8-2BCD8CD44C4B}"/>
  <tableColumns count="4">
    <tableColumn id="1" xr3:uid="{77992753-5257-2C46-9A71-9553C79F42D7}" name="Column1"/>
    <tableColumn id="2" xr3:uid="{D4D88F49-C70C-2B45-84CB-A86CE3A04ED5}" name="Column2"/>
    <tableColumn id="3" xr3:uid="{08BECD22-DCBE-8D4C-A9BE-8DB83FA7F54B}" name="Column3"/>
    <tableColumn id="4" xr3:uid="{988C36F6-0BC1-2341-8B01-29CC95B221CC}" name="Column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B941186-BE67-A146-A162-C03EE2F693E8}" name="Table3" displayName="Table3" ref="A1:E6" totalsRowCount="1">
  <autoFilter ref="A1:E5" xr:uid="{2B941186-BE67-A146-A162-C03EE2F693E8}"/>
  <tableColumns count="5">
    <tableColumn id="1" xr3:uid="{4647488B-6122-0548-88C8-0B0E560F0084}" name="The one" totalsRowLabel="Total"/>
    <tableColumn id="2" xr3:uid="{8983DD78-AABB-F345-B82F-56C6BE7A40FF}" name="the two " totalsRowFunction="sum"/>
    <tableColumn id="3" xr3:uid="{B438FE93-067F-D64B-92BF-45B0BD2D35A7}" name="three" totalsRowFunction="sum"/>
    <tableColumn id="4" xr3:uid="{C2DAAFA9-CEBC-3B47-9CB4-295AF93974DF}" name="last" totalsRowFunction="sum"/>
    <tableColumn id="5" xr3:uid="{B5BB5324-14BD-334B-A529-2CC304A7E77F}" name="Column1" totalsRowLabel="&lt;=SUBTOTALS 109 IGNORE HIDDEN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8F7CD1A-DF6E-194F-A11F-52E0931ACA35}" name="Table4" displayName="Table4" ref="A1:D7" totalsRowCount="1">
  <autoFilter ref="A1:D6" xr:uid="{A8F7CD1A-DF6E-194F-A11F-52E0931ACA35}">
    <filterColumn colId="0">
      <customFilters>
        <customFilter operator="greaterThan" val="20"/>
      </customFilters>
    </filterColumn>
  </autoFilter>
  <tableColumns count="4">
    <tableColumn id="1" xr3:uid="{4604AD7C-2ADB-CA47-BD9C-B816FF0AEB58}" name="Dogs" totalsRowFunction="sum"/>
    <tableColumn id="2" xr3:uid="{35BD452C-10F9-7E44-86D0-564374703494}" name="Cats" totalsRowFunction="sum"/>
    <tableColumn id="3" xr3:uid="{06F70A62-6A06-B042-AD96-47C74152A88D}" name="Elephants" totalsRowFunction="sum"/>
    <tableColumn id="4" xr3:uid="{9F21D642-2CF3-264B-A184-43292F2F1B92}" name="Tigers" totalsRowFunction="sum"/>
  </tableColumns>
  <tableStyleInfo name="TableStyleDark5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7E1DFED-3E48-FA46-A70C-AD40366253C9}" name="Table16" displayName="Table16" ref="A1:F45" totalsRowCount="1">
  <autoFilter ref="A1:F44" xr:uid="{27E1DFED-3E48-FA46-A70C-AD40366253C9}">
    <filterColumn colId="0">
      <filters>
        <filter val="Germany"/>
        <filter val="Spain"/>
      </filters>
    </filterColumn>
  </autoFilter>
  <tableColumns count="6">
    <tableColumn id="2" xr3:uid="{395CBC8A-3FD4-8E49-9460-D39176107019}" name="Region"/>
    <tableColumn id="3" xr3:uid="{008FD32A-29F7-574E-A3CA-DFEEBFC2BC83}" name="Rep"/>
    <tableColumn id="4" xr3:uid="{51EC3971-83D9-F544-A07E-B9742F61E585}" name="Item"/>
    <tableColumn id="5" xr3:uid="{45346D50-C4CC-AE4B-9A8F-3E9CB08991CE}" name="Units" totalsRowFunction="average"/>
    <tableColumn id="6" xr3:uid="{D5FD35D4-3304-2241-A051-BEE9DE9C975E}" name="Unit Cost" totalsRowFunction="average" totalsRowDxfId="28"/>
    <tableColumn id="7" xr3:uid="{B4609346-B08C-1540-87A6-7BDD0F99D755}" name="Total" totalsRowFunction="sum" dataDxfId="27" totalsRowDxfId="26" dataCellStyle="Comma">
      <calculatedColumnFormula>Table16[[#This Row],[Units]]*Table16[[#This Row],[Unit Cost]]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9AA31D8-9444-7542-AA9B-6F1C2E72E16D}" name="Table17" displayName="Table17" ref="A1:F45" totalsRowCount="1">
  <autoFilter ref="A1:F44" xr:uid="{49AA31D8-9444-7542-AA9B-6F1C2E72E16D}"/>
  <tableColumns count="6">
    <tableColumn id="1" xr3:uid="{833D4BD4-E79F-5F42-8F2A-C9BE7C363401}" name="Region" totalsRowLabel="Total" dataDxfId="25"/>
    <tableColumn id="2" xr3:uid="{6D8BA91D-5F28-094A-B6F3-A121A3AD338E}" name="Rep" dataDxfId="24"/>
    <tableColumn id="3" xr3:uid="{79351C90-216B-6644-95CF-452CE101F1D2}" name="Item" dataDxfId="23"/>
    <tableColumn id="4" xr3:uid="{08B2CDA5-31A0-154D-A4DB-93A805099430}" name="Units" totalsRowFunction="min" dataDxfId="22"/>
    <tableColumn id="5" xr3:uid="{3ECC1DE3-3552-C54E-9514-43BA9F5B787E}" name="Unit Cost" totalsRowFunction="sum" dataDxfId="21" totalsRowDxfId="20" dataCellStyle="Comma"/>
    <tableColumn id="6" xr3:uid="{E116183D-D911-3044-B68F-51A37E321D80}" name="Total" totalsRowFunction="sum" dataDxfId="19" totalsRowDxfId="18" dataCellStyle="Comma">
      <calculatedColumnFormula>Table17[[#This Row],[Units]]*Table17[[#This Row],[Unit Cost]]</calculatedColumnFormula>
    </tableColumn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2FB4BD79-54FB-7D43-BEEE-37F9A827C0DE}" name="Table7" displayName="Table7" ref="J1:O8" totalsRowCount="1" headerRowDxfId="17" headerRowBorderDxfId="16" tableBorderDxfId="15" totalsRowBorderDxfId="14">
  <autoFilter ref="J1:O7" xr:uid="{2FB4BD79-54FB-7D43-BEEE-37F9A827C0DE}"/>
  <tableColumns count="6">
    <tableColumn id="1" xr3:uid="{5FF2180F-76F9-A746-8C55-BBB6F0393834}" name="Region" totalsRowLabel="Total" dataDxfId="13" totalsRowDxfId="12"/>
    <tableColumn id="2" xr3:uid="{D0548A0A-1672-894E-BCDE-D702C6719251}" name="Rep" dataDxfId="11" totalsRowDxfId="10"/>
    <tableColumn id="3" xr3:uid="{2AF4D54E-D49C-BA48-AAC6-F8060165BB28}" name="Item" dataDxfId="9" totalsRowDxfId="8"/>
    <tableColumn id="4" xr3:uid="{4DDC914F-CC98-0B4A-98C6-EA049121457C}" name="Units" totalsRowFunction="sum" dataDxfId="7" totalsRowDxfId="6"/>
    <tableColumn id="5" xr3:uid="{E99A81FC-8139-C141-9352-61D048323D3C}" name="Unit Cost" totalsRowFunction="average" dataDxfId="5" totalsRowDxfId="4" dataCellStyle="Comma"/>
    <tableColumn id="6" xr3:uid="{75303A0A-2CA3-FC45-B09C-7BEF7FE97225}" name="Total" totalsRowFunction="sum" dataDxfId="3" totalsRowDxfId="2" dataCellStyle="Comma">
      <calculatedColumnFormula>Table17[[#This Row],[Units]]*Table17[[#This Row],[Unit Cost]]</calculatedColumnFormula>
    </tableColumn>
  </tableColumns>
  <tableStyleInfo name="TableStyleMedium16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89316EE-C132-0C45-AF12-4398914EC685}" name="Table8" displayName="Table8" ref="B3:F8" headerRowCount="0" totalsRowCount="1">
  <tableColumns count="5">
    <tableColumn id="1" xr3:uid="{FD12ED3A-517C-074D-85FE-8C4DF0F29F65}" name="Column1" totalsRowFunction="min"/>
    <tableColumn id="2" xr3:uid="{C9107CA1-9D11-1F48-BD7F-AF34A7BD44B3}" name="Column2" totalsRowFunction="sum"/>
    <tableColumn id="3" xr3:uid="{D2AF1492-6468-5243-94F7-814F63BA6038}" name="Column3" totalsRowFunction="custom">
      <totalsRowFormula>SUBTOTAL(9,Table8[Column3])</totalsRowFormula>
    </tableColumn>
    <tableColumn id="4" xr3:uid="{DEF2B5E7-1C88-E94A-979A-299DB49B58E3}" name="Column4" totalsRowFunction="sum"/>
    <tableColumn id="5" xr3:uid="{646CE8D4-3EDF-604D-BB6D-74D5208E9A47}" name="Column5" totalsRowFunction="average" dataDxfId="1">
      <calculatedColumnFormula>Table8[[#This Row],[Column1]]*Table8[[#This Row],[Column2]]+Table8[[#This Row],[Column3]]</calculatedColumnFormula>
    </tableColumn>
  </tableColumns>
  <tableStyleInfo name="TableStyleDark7" showFirstColumn="1" showLastColumn="1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6ABF939-2E75-A94C-B4D8-32D622D17D04}" name="Table9" displayName="Table9" ref="A1:E6" totalsRowCount="1">
  <autoFilter ref="A1:E5" xr:uid="{46ABF939-2E75-A94C-B4D8-32D622D17D04}"/>
  <tableColumns count="5">
    <tableColumn id="1" xr3:uid="{B4C78E4A-C810-8B44-97FD-92554693A24C}" name="Column1" totalsRowLabel="Total"/>
    <tableColumn id="2" xr3:uid="{869D42C5-61C3-DA4B-8B1D-7C69594DACA4}" name="Hi, 'This" totalsRowFunction="min"/>
    <tableColumn id="3" xr3:uid="{F425B3AF-69B8-9B49-BA05-2DFA8877087F}" name="#Shame" totalsRowFunction="sum"/>
    <tableColumn id="4" xr3:uid="{678C209A-B222-C54F-AEDB-ED0775687AB1}" name="[Not me]" totalsRowFunction="count"/>
    <tableColumn id="5" xr3:uid="{7B266C7B-2FF9-1E48-A132-AB34432EBBB0}" name="Totals []^&amp;*@#$,,&lt;&gt;" totalsRowFunction="custom" dataDxfId="0">
      <calculatedColumnFormula>SUBTOTAL(109,Table9[[#This Row],[Hi, ''This]:['[Not me']]])</calculatedColumnFormula>
      <totalsRowFormula>SUM(Table9[Totals '[']^&amp;*@'#$,,&lt;&gt;])</totalsRowFormula>
    </tableColumn>
  </tableColumns>
  <tableStyleInfo name="TableStyleLight12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FA5D-3006-5748-AD42-29115B1892A2}">
  <dimension ref="A1:L23"/>
  <sheetViews>
    <sheetView workbookViewId="0">
      <selection activeCell="A24" sqref="A24"/>
    </sheetView>
  </sheetViews>
  <sheetFormatPr baseColWidth="10" defaultRowHeight="16" x14ac:dyDescent="0.2"/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 x14ac:dyDescent="0.2">
      <c r="A2">
        <v>1</v>
      </c>
      <c r="B2">
        <v>2</v>
      </c>
      <c r="C2">
        <v>3</v>
      </c>
      <c r="D2">
        <v>4</v>
      </c>
      <c r="E2">
        <v>5</v>
      </c>
      <c r="F2">
        <f>SUM(Table1[[#This Row],[Jan]:[Dec]])</f>
        <v>15</v>
      </c>
    </row>
    <row r="3" spans="1:12" x14ac:dyDescent="0.2">
      <c r="A3">
        <v>6</v>
      </c>
      <c r="B3">
        <v>7</v>
      </c>
      <c r="C3">
        <v>8</v>
      </c>
      <c r="D3">
        <v>9</v>
      </c>
      <c r="E3">
        <v>10</v>
      </c>
      <c r="F3">
        <f>SUM(Table1[[#This Row],[Jan]:[Dec]])</f>
        <v>40</v>
      </c>
      <c r="I3">
        <f>SUM(Table1[#This Row])</f>
        <v>80</v>
      </c>
      <c r="J3">
        <f>SUM(Table1[#All])</f>
        <v>538</v>
      </c>
      <c r="L3">
        <f>SUM(Table1[[#Data],[Jan]:[Mar]])</f>
        <v>109</v>
      </c>
    </row>
    <row r="4" spans="1:12" x14ac:dyDescent="0.2">
      <c r="A4">
        <v>5</v>
      </c>
      <c r="B4">
        <v>77</v>
      </c>
      <c r="F4">
        <f>SUM(Table1[[#This Row],[Jan]:[Dec]])</f>
        <v>82</v>
      </c>
      <c r="I4">
        <f>SUM(Table1[#This Row])</f>
        <v>164</v>
      </c>
    </row>
    <row r="5" spans="1:12" x14ac:dyDescent="0.2">
      <c r="B5">
        <f>SUBTOTAL(109,Table1[Feb])</f>
        <v>86</v>
      </c>
      <c r="C5">
        <f>SUBTOTAL(109,Table1[Apr])</f>
        <v>13</v>
      </c>
      <c r="D5">
        <f>SUBTOTAL(109,Table1[Apr])</f>
        <v>13</v>
      </c>
      <c r="E5">
        <f>SUBTOTAL(109,Table1[Dec])</f>
        <v>15</v>
      </c>
      <c r="F5">
        <f>SUBTOTAL(109,Table1[Year])</f>
        <v>137</v>
      </c>
    </row>
    <row r="9" spans="1:12" x14ac:dyDescent="0.2">
      <c r="A9">
        <f>SUM(Table1[[#Totals], [Year]])</f>
        <v>137</v>
      </c>
      <c r="C9">
        <f>SUM(Table1[Feb])</f>
        <v>86</v>
      </c>
    </row>
    <row r="14" spans="1:12" x14ac:dyDescent="0.2">
      <c r="F14">
        <f>SUM(Table1[#Totals])</f>
        <v>264</v>
      </c>
    </row>
    <row r="15" spans="1:12" x14ac:dyDescent="0.2">
      <c r="F15">
        <f>SUM(Table1[#Headers])</f>
        <v>0</v>
      </c>
    </row>
    <row r="16" spans="1:12" x14ac:dyDescent="0.2">
      <c r="F16" t="str">
        <f>_xlfn.CONCAT(Table1[#Headers])</f>
        <v>JanFebMarAprDecYear</v>
      </c>
    </row>
    <row r="17" spans="1:6" x14ac:dyDescent="0.2">
      <c r="F17">
        <f>SUM(Table1[#Data])</f>
        <v>274</v>
      </c>
    </row>
    <row r="18" spans="1:6" x14ac:dyDescent="0.2">
      <c r="F18">
        <f>SUM(Table1[#All])</f>
        <v>538</v>
      </c>
    </row>
    <row r="23" spans="1:6" x14ac:dyDescent="0.2">
      <c r="A23">
        <f ca="1">_xlfn.SHEET()</f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43B8D-987F-9746-B127-5D8AA7B9D7F0}">
  <dimension ref="A1:H11"/>
  <sheetViews>
    <sheetView workbookViewId="0">
      <selection activeCell="B11" sqref="B11"/>
    </sheetView>
  </sheetViews>
  <sheetFormatPr baseColWidth="10" defaultRowHeight="16" x14ac:dyDescent="0.2"/>
  <sheetData>
    <row r="1" spans="1:8" x14ac:dyDescent="0.2">
      <c r="A1" t="s">
        <v>7</v>
      </c>
      <c r="B1" t="s">
        <v>8</v>
      </c>
      <c r="C1" t="s">
        <v>9</v>
      </c>
      <c r="D1" t="s">
        <v>10</v>
      </c>
    </row>
    <row r="2" spans="1:8" x14ac:dyDescent="0.2">
      <c r="A2">
        <v>1</v>
      </c>
      <c r="B2">
        <v>2</v>
      </c>
      <c r="C2">
        <v>3</v>
      </c>
      <c r="D2">
        <v>4</v>
      </c>
      <c r="H2">
        <f>SUM(Table2[[#This Row],[Column1]:[Column4]])</f>
        <v>10</v>
      </c>
    </row>
    <row r="3" spans="1:8" x14ac:dyDescent="0.2">
      <c r="A3">
        <v>5</v>
      </c>
      <c r="B3">
        <v>6</v>
      </c>
      <c r="C3">
        <v>7</v>
      </c>
      <c r="D3">
        <v>8</v>
      </c>
    </row>
    <row r="4" spans="1:8" x14ac:dyDescent="0.2">
      <c r="A4">
        <v>9</v>
      </c>
      <c r="B4">
        <v>10</v>
      </c>
      <c r="C4">
        <v>11</v>
      </c>
      <c r="D4">
        <v>12</v>
      </c>
      <c r="F4" t="e">
        <f>SUM(Table2[#Totals])</f>
        <v>#REF!</v>
      </c>
    </row>
    <row r="11" spans="1:8" x14ac:dyDescent="0.2">
      <c r="B11" t="s">
        <v>71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A2502-1BD0-CC49-ABD3-655EE8FC5F26}">
  <dimension ref="A1:I15"/>
  <sheetViews>
    <sheetView workbookViewId="0">
      <selection activeCell="C16" sqref="C16"/>
    </sheetView>
  </sheetViews>
  <sheetFormatPr baseColWidth="10" defaultRowHeight="16" x14ac:dyDescent="0.2"/>
  <sheetData>
    <row r="1" spans="1:9" x14ac:dyDescent="0.2">
      <c r="A1" t="s">
        <v>11</v>
      </c>
      <c r="B1" t="s">
        <v>12</v>
      </c>
      <c r="C1" t="s">
        <v>13</v>
      </c>
      <c r="D1" t="s">
        <v>14</v>
      </c>
      <c r="E1" t="s">
        <v>7</v>
      </c>
    </row>
    <row r="2" spans="1:9" x14ac:dyDescent="0.2">
      <c r="A2">
        <v>12</v>
      </c>
      <c r="B2">
        <v>2</v>
      </c>
      <c r="C2">
        <v>3</v>
      </c>
      <c r="D2">
        <v>4</v>
      </c>
    </row>
    <row r="3" spans="1:9" hidden="1" x14ac:dyDescent="0.2">
      <c r="A3">
        <v>3</v>
      </c>
      <c r="B3">
        <v>4</v>
      </c>
      <c r="C3">
        <v>5</v>
      </c>
      <c r="D3">
        <v>7</v>
      </c>
    </row>
    <row r="4" spans="1:9" x14ac:dyDescent="0.2">
      <c r="A4">
        <v>1</v>
      </c>
      <c r="B4">
        <v>2</v>
      </c>
      <c r="C4">
        <v>3</v>
      </c>
      <c r="D4">
        <v>5</v>
      </c>
    </row>
    <row r="5" spans="1:9" x14ac:dyDescent="0.2">
      <c r="A5">
        <v>12</v>
      </c>
      <c r="B5">
        <v>34</v>
      </c>
      <c r="C5">
        <v>7</v>
      </c>
      <c r="D5">
        <v>5</v>
      </c>
      <c r="H5">
        <f>SUM(Table3[[#Totals],[the two ]])</f>
        <v>38</v>
      </c>
      <c r="I5">
        <f>SUM(Table3[[#Totals],[the two ]:[last]])</f>
        <v>65</v>
      </c>
    </row>
    <row r="6" spans="1:9" x14ac:dyDescent="0.2">
      <c r="A6" t="s">
        <v>6</v>
      </c>
      <c r="B6">
        <f>SUBTOTAL(109,Table3[[the two ]])</f>
        <v>38</v>
      </c>
      <c r="C6">
        <f>SUBTOTAL(109,Table3[three])</f>
        <v>13</v>
      </c>
      <c r="D6">
        <f>SUBTOTAL(109,Table3[last])</f>
        <v>14</v>
      </c>
      <c r="E6" t="s">
        <v>20</v>
      </c>
    </row>
    <row r="7" spans="1:9" x14ac:dyDescent="0.2">
      <c r="B7">
        <f>SUBTOTAL(109,B2:B6)</f>
        <v>38</v>
      </c>
      <c r="E7" t="s">
        <v>19</v>
      </c>
    </row>
    <row r="8" spans="1:9" x14ac:dyDescent="0.2">
      <c r="B8">
        <f>SUM(Table3[[the two ]])</f>
        <v>42</v>
      </c>
    </row>
    <row r="9" spans="1:9" x14ac:dyDescent="0.2">
      <c r="B9">
        <f>SUBTOTAL(9,Table3[[the two ]])</f>
        <v>42</v>
      </c>
      <c r="E9" t="s">
        <v>21</v>
      </c>
    </row>
    <row r="10" spans="1:9" x14ac:dyDescent="0.2">
      <c r="B10">
        <f>SUBTOTAL(9,B2:B5)</f>
        <v>42</v>
      </c>
    </row>
    <row r="11" spans="1:9" x14ac:dyDescent="0.2">
      <c r="B11">
        <f>Table3[[#Totals],[the two ]]+B7</f>
        <v>76</v>
      </c>
    </row>
    <row r="13" spans="1:9" x14ac:dyDescent="0.2">
      <c r="D13">
        <f>SUBTOTAL(109,B11)</f>
        <v>76</v>
      </c>
    </row>
    <row r="15" spans="1:9" x14ac:dyDescent="0.2">
      <c r="B15">
        <f>SUBTOTAL(109,B6:B7)</f>
        <v>0</v>
      </c>
      <c r="C15" t="s">
        <v>25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DAA5D-357C-0D4A-A665-4503E5C62494}">
  <dimension ref="A1:M12"/>
  <sheetViews>
    <sheetView workbookViewId="0">
      <selection activeCell="B7" sqref="B7"/>
    </sheetView>
  </sheetViews>
  <sheetFormatPr baseColWidth="10" defaultRowHeight="16" x14ac:dyDescent="0.2"/>
  <sheetData>
    <row r="1" spans="1:13" x14ac:dyDescent="0.2">
      <c r="A1" t="s">
        <v>15</v>
      </c>
      <c r="B1" t="s">
        <v>16</v>
      </c>
      <c r="C1" t="s">
        <v>17</v>
      </c>
      <c r="D1" t="s">
        <v>18</v>
      </c>
      <c r="L1" t="s">
        <v>23</v>
      </c>
      <c r="M1" t="s">
        <v>24</v>
      </c>
    </row>
    <row r="2" spans="1:13" hidden="1" x14ac:dyDescent="0.2">
      <c r="A2">
        <v>1</v>
      </c>
      <c r="B2">
        <v>1</v>
      </c>
      <c r="C2">
        <v>2</v>
      </c>
      <c r="D2">
        <v>34</v>
      </c>
    </row>
    <row r="3" spans="1:13" x14ac:dyDescent="0.2">
      <c r="A3">
        <v>23</v>
      </c>
      <c r="B3">
        <v>4</v>
      </c>
      <c r="C3">
        <v>5</v>
      </c>
      <c r="D3">
        <v>1</v>
      </c>
    </row>
    <row r="4" spans="1:13" hidden="1" x14ac:dyDescent="0.2">
      <c r="A4">
        <v>7</v>
      </c>
      <c r="B4">
        <v>4</v>
      </c>
      <c r="C4">
        <v>8</v>
      </c>
      <c r="D4">
        <v>1</v>
      </c>
    </row>
    <row r="5" spans="1:13" hidden="1" x14ac:dyDescent="0.2">
      <c r="A5">
        <v>1</v>
      </c>
      <c r="B5">
        <v>2</v>
      </c>
      <c r="C5">
        <v>3</v>
      </c>
      <c r="D5">
        <v>4</v>
      </c>
    </row>
    <row r="6" spans="1:13" hidden="1" x14ac:dyDescent="0.2">
      <c r="A6">
        <v>45</v>
      </c>
      <c r="B6">
        <v>6</v>
      </c>
      <c r="C6">
        <v>7</v>
      </c>
      <c r="D6">
        <v>7</v>
      </c>
    </row>
    <row r="7" spans="1:13" x14ac:dyDescent="0.2">
      <c r="A7">
        <f>SUBTOTAL(109,Table4[Dogs])</f>
        <v>23</v>
      </c>
      <c r="B7">
        <f>SUBTOTAL(109,Table4[Cats])</f>
        <v>4</v>
      </c>
      <c r="C7">
        <f>SUBTOTAL(109,Table4[Elephants])</f>
        <v>5</v>
      </c>
      <c r="D7">
        <f>SUBTOTAL(109,Table4[Tigers])</f>
        <v>1</v>
      </c>
      <c r="E7" t="s">
        <v>22</v>
      </c>
    </row>
    <row r="8" spans="1:13" x14ac:dyDescent="0.2">
      <c r="B8">
        <f>SUBTOTAL(9,B3:B6)</f>
        <v>4</v>
      </c>
    </row>
    <row r="9" spans="1:13" x14ac:dyDescent="0.2">
      <c r="B9">
        <f>SUM(B3:B6)</f>
        <v>16</v>
      </c>
    </row>
    <row r="10" spans="1:13" x14ac:dyDescent="0.2">
      <c r="B10">
        <f>SUBTOTAL(9, Table4[Cats])</f>
        <v>4</v>
      </c>
    </row>
    <row r="11" spans="1:13" x14ac:dyDescent="0.2">
      <c r="B11">
        <f ca="1">SUBTOTAL(109, OFFSET(A1,1,1):OFFSET(A1,6,1))</f>
        <v>4</v>
      </c>
      <c r="C11">
        <f ca="1">SUM(OFFSET(A1,1,1):OFFSET(A1,5,1))</f>
        <v>17</v>
      </c>
    </row>
    <row r="12" spans="1:13" x14ac:dyDescent="0.2">
      <c r="B12">
        <f ca="1">SUM(INDIRECT("B2"):INDIRECT("B6"))</f>
        <v>17</v>
      </c>
      <c r="C12">
        <f ca="1">SUBTOTAL(109, INDIRECT("B2"):INDIRECT("B6"))</f>
        <v>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3426B-9C19-C34E-AE5A-A288DFFC9730}">
  <dimension ref="A1:L54"/>
  <sheetViews>
    <sheetView workbookViewId="0">
      <selection activeCell="L4" sqref="L4"/>
    </sheetView>
  </sheetViews>
  <sheetFormatPr baseColWidth="10" defaultRowHeight="16" x14ac:dyDescent="0.2"/>
  <sheetData>
    <row r="1" spans="1:12" x14ac:dyDescent="0.2">
      <c r="A1" s="1" t="s">
        <v>26</v>
      </c>
      <c r="B1" s="1" t="s">
        <v>27</v>
      </c>
      <c r="C1" s="2" t="s">
        <v>28</v>
      </c>
      <c r="D1" s="3" t="s">
        <v>29</v>
      </c>
      <c r="E1" s="2" t="s">
        <v>33</v>
      </c>
      <c r="F1" s="2" t="s">
        <v>6</v>
      </c>
    </row>
    <row r="2" spans="1:12" hidden="1" x14ac:dyDescent="0.2">
      <c r="A2" s="4" t="s">
        <v>46</v>
      </c>
      <c r="B2" s="4" t="s">
        <v>39</v>
      </c>
      <c r="C2" s="2" t="s">
        <v>51</v>
      </c>
      <c r="D2" s="5">
        <v>95</v>
      </c>
      <c r="E2" s="6">
        <v>1.99</v>
      </c>
      <c r="F2" s="7">
        <f>Table16[[#This Row],[Units]]*Table16[[#This Row],[Unit Cost]]</f>
        <v>189.05</v>
      </c>
    </row>
    <row r="3" spans="1:12" x14ac:dyDescent="0.2">
      <c r="A3" s="4" t="s">
        <v>48</v>
      </c>
      <c r="B3" s="4" t="s">
        <v>40</v>
      </c>
      <c r="C3" s="2" t="s">
        <v>52</v>
      </c>
      <c r="D3" s="5">
        <v>50</v>
      </c>
      <c r="E3" s="6">
        <v>19.989999999999998</v>
      </c>
      <c r="F3" s="7">
        <f>Table16[[#This Row],[Units]]*Table16[[#This Row],[Unit Cost]]</f>
        <v>999.49999999999989</v>
      </c>
    </row>
    <row r="4" spans="1:12" x14ac:dyDescent="0.2">
      <c r="A4" s="4" t="s">
        <v>48</v>
      </c>
      <c r="B4" s="4" t="s">
        <v>41</v>
      </c>
      <c r="C4" s="2" t="s">
        <v>51</v>
      </c>
      <c r="D4" s="5">
        <v>36</v>
      </c>
      <c r="E4" s="6">
        <v>4.99</v>
      </c>
      <c r="F4" s="7">
        <f>Table16[[#This Row],[Units]]*Table16[[#This Row],[Unit Cost]]</f>
        <v>179.64000000000001</v>
      </c>
      <c r="L4" t="s">
        <v>73</v>
      </c>
    </row>
    <row r="5" spans="1:12" x14ac:dyDescent="0.2">
      <c r="A5" s="4" t="s">
        <v>48</v>
      </c>
      <c r="B5" s="4" t="s">
        <v>42</v>
      </c>
      <c r="C5" s="2" t="s">
        <v>55</v>
      </c>
      <c r="D5" s="5">
        <v>27</v>
      </c>
      <c r="E5" s="6">
        <v>19.989999999999998</v>
      </c>
      <c r="F5" s="7">
        <f>Table16[[#This Row],[Units]]*Table16[[#This Row],[Unit Cost]]</f>
        <v>539.7299999999999</v>
      </c>
    </row>
    <row r="6" spans="1:12" x14ac:dyDescent="0.2">
      <c r="A6" s="4" t="s">
        <v>49</v>
      </c>
      <c r="B6" s="4" t="s">
        <v>45</v>
      </c>
      <c r="C6" s="2" t="s">
        <v>51</v>
      </c>
      <c r="D6" s="5">
        <v>56</v>
      </c>
      <c r="E6" s="6">
        <v>2.99</v>
      </c>
      <c r="F6" s="7">
        <f>Table16[[#This Row],[Units]]*Table16[[#This Row],[Unit Cost]]</f>
        <v>167.44</v>
      </c>
    </row>
    <row r="7" spans="1:12" hidden="1" x14ac:dyDescent="0.2">
      <c r="A7" s="4" t="s">
        <v>46</v>
      </c>
      <c r="B7" s="4" t="s">
        <v>39</v>
      </c>
      <c r="C7" s="2" t="s">
        <v>52</v>
      </c>
      <c r="D7" s="5">
        <v>45</v>
      </c>
      <c r="E7" s="6">
        <v>4.99</v>
      </c>
      <c r="F7" s="7">
        <f>Table16[[#This Row],[Units]]*Table16[[#This Row],[Unit Cost]]</f>
        <v>224.55</v>
      </c>
    </row>
    <row r="8" spans="1:12" x14ac:dyDescent="0.2">
      <c r="A8" s="4" t="s">
        <v>48</v>
      </c>
      <c r="B8" s="4" t="s">
        <v>30</v>
      </c>
      <c r="C8" s="2" t="s">
        <v>51</v>
      </c>
      <c r="D8" s="5">
        <v>23</v>
      </c>
      <c r="E8" s="6">
        <v>1.99</v>
      </c>
      <c r="F8" s="7">
        <f>Table16[[#This Row],[Units]]*Table16[[#This Row],[Unit Cost]]</f>
        <v>45.77</v>
      </c>
    </row>
    <row r="9" spans="1:12" x14ac:dyDescent="0.2">
      <c r="A9" s="4" t="s">
        <v>48</v>
      </c>
      <c r="B9" s="4" t="s">
        <v>41</v>
      </c>
      <c r="C9" s="2" t="s">
        <v>51</v>
      </c>
      <c r="D9" s="5">
        <v>90</v>
      </c>
      <c r="E9" s="6">
        <v>4.99</v>
      </c>
      <c r="F9" s="7">
        <f>Table16[[#This Row],[Units]]*Table16[[#This Row],[Unit Cost]]</f>
        <v>449.1</v>
      </c>
      <c r="H9" t="s">
        <v>47</v>
      </c>
    </row>
    <row r="10" spans="1:12" x14ac:dyDescent="0.2">
      <c r="A10" s="4" t="s">
        <v>49</v>
      </c>
      <c r="B10" s="4" t="s">
        <v>50</v>
      </c>
      <c r="C10" s="2" t="s">
        <v>51</v>
      </c>
      <c r="D10" s="9" t="s">
        <v>67</v>
      </c>
      <c r="E10" s="6">
        <v>1.99</v>
      </c>
      <c r="F10" s="7">
        <f>Table16[[#This Row],[Units]]*Table16[[#This Row],[Unit Cost]]</f>
        <v>63.68</v>
      </c>
    </row>
    <row r="11" spans="1:12" hidden="1" x14ac:dyDescent="0.2">
      <c r="A11" s="4" t="s">
        <v>46</v>
      </c>
      <c r="B11" s="4" t="s">
        <v>39</v>
      </c>
      <c r="C11" s="2" t="s">
        <v>52</v>
      </c>
      <c r="D11" s="5">
        <v>60</v>
      </c>
      <c r="E11" s="6">
        <v>8.99</v>
      </c>
      <c r="F11" s="7">
        <f>Table16[[#This Row],[Units]]*Table16[[#This Row],[Unit Cost]]</f>
        <v>539.4</v>
      </c>
    </row>
    <row r="12" spans="1:12" x14ac:dyDescent="0.2">
      <c r="A12" s="4" t="s">
        <v>48</v>
      </c>
      <c r="B12" s="4" t="s">
        <v>43</v>
      </c>
      <c r="C12" s="2" t="s">
        <v>51</v>
      </c>
      <c r="D12" s="5">
        <v>90</v>
      </c>
      <c r="E12" s="6">
        <v>4.99</v>
      </c>
      <c r="F12" s="7">
        <f>Table16[[#This Row],[Units]]*Table16[[#This Row],[Unit Cost]]</f>
        <v>449.1</v>
      </c>
    </row>
    <row r="13" spans="1:12" hidden="1" x14ac:dyDescent="0.2">
      <c r="A13" s="4" t="s">
        <v>46</v>
      </c>
      <c r="B13" s="4" t="s">
        <v>31</v>
      </c>
      <c r="C13" s="2" t="s">
        <v>52</v>
      </c>
      <c r="D13" s="5">
        <v>29</v>
      </c>
      <c r="E13" s="6">
        <v>1.99</v>
      </c>
      <c r="F13" s="7">
        <f>Table16[[#This Row],[Units]]*Table16[[#This Row],[Unit Cost]]</f>
        <v>57.71</v>
      </c>
    </row>
    <row r="14" spans="1:12" hidden="1" x14ac:dyDescent="0.2">
      <c r="A14" s="4" t="s">
        <v>46</v>
      </c>
      <c r="B14" s="4" t="s">
        <v>32</v>
      </c>
      <c r="C14" s="2" t="s">
        <v>52</v>
      </c>
      <c r="D14" s="5">
        <v>81</v>
      </c>
      <c r="E14" s="6">
        <v>19.989999999999998</v>
      </c>
      <c r="F14" s="7">
        <f>Table16[[#This Row],[Units]]*Table16[[#This Row],[Unit Cost]]</f>
        <v>1619.1899999999998</v>
      </c>
    </row>
    <row r="15" spans="1:12" hidden="1" x14ac:dyDescent="0.2">
      <c r="A15" s="4" t="s">
        <v>46</v>
      </c>
      <c r="B15" s="4" t="s">
        <v>39</v>
      </c>
      <c r="C15" s="2" t="s">
        <v>51</v>
      </c>
      <c r="D15" s="5">
        <v>35</v>
      </c>
      <c r="E15" s="6">
        <v>4.99</v>
      </c>
      <c r="F15" s="7">
        <f>Table16[[#This Row],[Units]]*Table16[[#This Row],[Unit Cost]]</f>
        <v>174.65</v>
      </c>
    </row>
    <row r="16" spans="1:12" x14ac:dyDescent="0.2">
      <c r="A16" s="4" t="s">
        <v>48</v>
      </c>
      <c r="B16" s="4" t="s">
        <v>44</v>
      </c>
      <c r="C16" s="2" t="s">
        <v>53</v>
      </c>
      <c r="D16" s="5">
        <v>2</v>
      </c>
      <c r="E16" s="6">
        <v>125</v>
      </c>
      <c r="F16" s="7">
        <f>Table16[[#This Row],[Units]]*Table16[[#This Row],[Unit Cost]]</f>
        <v>250</v>
      </c>
    </row>
    <row r="17" spans="1:8" hidden="1" x14ac:dyDescent="0.2">
      <c r="A17" s="4" t="s">
        <v>46</v>
      </c>
      <c r="B17" s="4" t="s">
        <v>39</v>
      </c>
      <c r="C17" s="2" t="s">
        <v>54</v>
      </c>
      <c r="D17" s="5">
        <v>16</v>
      </c>
      <c r="E17" s="6">
        <v>15.99</v>
      </c>
      <c r="F17" s="7">
        <f>Table16[[#This Row],[Units]]*Table16[[#This Row],[Unit Cost]]</f>
        <v>255.84</v>
      </c>
    </row>
    <row r="18" spans="1:8" x14ac:dyDescent="0.2">
      <c r="A18" s="4" t="s">
        <v>48</v>
      </c>
      <c r="B18" s="4" t="s">
        <v>43</v>
      </c>
      <c r="C18" s="2" t="s">
        <v>52</v>
      </c>
      <c r="D18" s="5">
        <v>28</v>
      </c>
      <c r="E18" s="6">
        <v>8.99</v>
      </c>
      <c r="F18" s="7">
        <f>Table16[[#This Row],[Units]]*Table16[[#This Row],[Unit Cost]]</f>
        <v>251.72</v>
      </c>
    </row>
    <row r="19" spans="1:8" hidden="1" x14ac:dyDescent="0.2">
      <c r="A19" s="4" t="s">
        <v>46</v>
      </c>
      <c r="B19" s="4" t="s">
        <v>39</v>
      </c>
      <c r="C19" s="2" t="s">
        <v>55</v>
      </c>
      <c r="D19" s="5" t="e">
        <f>NA()</f>
        <v>#N/A</v>
      </c>
      <c r="E19" s="6">
        <v>8.99</v>
      </c>
      <c r="F19" s="7" t="e">
        <f>Table16[[#This Row],[Units]]*Table16[[#This Row],[Unit Cost]]</f>
        <v>#N/A</v>
      </c>
    </row>
    <row r="20" spans="1:8" hidden="1" x14ac:dyDescent="0.2">
      <c r="A20" s="4" t="s">
        <v>46</v>
      </c>
      <c r="B20" s="4" t="s">
        <v>32</v>
      </c>
      <c r="C20" s="2" t="s">
        <v>55</v>
      </c>
      <c r="D20" s="5">
        <v>15</v>
      </c>
      <c r="E20" s="6">
        <v>19.989999999999998</v>
      </c>
      <c r="F20" s="7">
        <f>Table16[[#This Row],[Units]]*Table16[[#This Row],[Unit Cost]]</f>
        <v>299.84999999999997</v>
      </c>
    </row>
    <row r="21" spans="1:8" x14ac:dyDescent="0.2">
      <c r="A21" s="4" t="s">
        <v>48</v>
      </c>
      <c r="B21" s="4" t="s">
        <v>40</v>
      </c>
      <c r="C21" s="2" t="s">
        <v>54</v>
      </c>
      <c r="D21" s="5">
        <v>96</v>
      </c>
      <c r="E21" s="6">
        <v>4.99</v>
      </c>
      <c r="F21" s="7">
        <f>Table16[[#This Row],[Units]]*Table16[[#This Row],[Unit Cost]]</f>
        <v>479.04</v>
      </c>
    </row>
    <row r="22" spans="1:8" x14ac:dyDescent="0.2">
      <c r="A22" s="4" t="s">
        <v>48</v>
      </c>
      <c r="B22" s="4" t="s">
        <v>44</v>
      </c>
      <c r="C22" s="2" t="s">
        <v>51</v>
      </c>
      <c r="D22" s="5">
        <v>67</v>
      </c>
      <c r="E22" s="6">
        <v>1.29</v>
      </c>
      <c r="F22" s="7">
        <f>Table16[[#This Row],[Units]]*Table16[[#This Row],[Unit Cost]]</f>
        <v>86.43</v>
      </c>
    </row>
    <row r="23" spans="1:8" hidden="1" x14ac:dyDescent="0.2">
      <c r="A23" s="4" t="s">
        <v>46</v>
      </c>
      <c r="B23" s="4" t="s">
        <v>32</v>
      </c>
      <c r="C23" s="2" t="s">
        <v>54</v>
      </c>
      <c r="D23" s="5">
        <v>74</v>
      </c>
      <c r="E23" s="6">
        <v>15.99</v>
      </c>
      <c r="F23" s="7">
        <f>Table16[[#This Row],[Units]]*Table16[[#This Row],[Unit Cost]]</f>
        <v>1183.26</v>
      </c>
    </row>
    <row r="24" spans="1:8" x14ac:dyDescent="0.2">
      <c r="A24" s="4" t="s">
        <v>48</v>
      </c>
      <c r="B24" s="4" t="s">
        <v>42</v>
      </c>
      <c r="C24" s="2" t="s">
        <v>52</v>
      </c>
      <c r="D24" s="5">
        <v>46</v>
      </c>
      <c r="E24" s="6">
        <v>8.99</v>
      </c>
      <c r="F24" s="7">
        <f>Table16[[#This Row],[Units]]*Table16[[#This Row],[Unit Cost]]</f>
        <v>413.54</v>
      </c>
    </row>
    <row r="25" spans="1:8" x14ac:dyDescent="0.2">
      <c r="A25" s="4" t="s">
        <v>48</v>
      </c>
      <c r="B25" s="4" t="s">
        <v>44</v>
      </c>
      <c r="C25" s="2" t="s">
        <v>52</v>
      </c>
      <c r="D25" s="5">
        <v>87</v>
      </c>
      <c r="E25" s="6">
        <v>15</v>
      </c>
      <c r="F25" s="7">
        <f>Table16[[#This Row],[Units]]*Table16[[#This Row],[Unit Cost]]</f>
        <v>1305</v>
      </c>
    </row>
    <row r="26" spans="1:8" hidden="1" x14ac:dyDescent="0.2">
      <c r="A26" s="4" t="s">
        <v>46</v>
      </c>
      <c r="B26" s="4" t="s">
        <v>39</v>
      </c>
      <c r="C26" s="2" t="s">
        <v>52</v>
      </c>
      <c r="D26" s="5">
        <v>4</v>
      </c>
      <c r="E26" s="6">
        <v>4.99</v>
      </c>
      <c r="F26" s="7">
        <f>Table16[[#This Row],[Units]]*Table16[[#This Row],[Unit Cost]]</f>
        <v>19.96</v>
      </c>
    </row>
    <row r="27" spans="1:8" x14ac:dyDescent="0.2">
      <c r="A27" s="4" t="s">
        <v>49</v>
      </c>
      <c r="B27" s="4" t="s">
        <v>45</v>
      </c>
      <c r="C27" s="2" t="s">
        <v>52</v>
      </c>
      <c r="D27" s="5" t="b">
        <f>H27</f>
        <v>1</v>
      </c>
      <c r="E27" s="6">
        <v>19.989999999999998</v>
      </c>
      <c r="F27" s="7">
        <f>Table16[[#This Row],[Units]]*Table16[[#This Row],[Unit Cost]]</f>
        <v>19.989999999999998</v>
      </c>
      <c r="H27" t="b">
        <v>1</v>
      </c>
    </row>
    <row r="28" spans="1:8" x14ac:dyDescent="0.2">
      <c r="A28" s="4" t="s">
        <v>48</v>
      </c>
      <c r="B28" s="4" t="s">
        <v>41</v>
      </c>
      <c r="C28" s="2" t="s">
        <v>54</v>
      </c>
      <c r="D28" s="5">
        <v>50</v>
      </c>
      <c r="E28" s="6">
        <v>4.99</v>
      </c>
      <c r="F28" s="7">
        <f>Table16[[#This Row],[Units]]*Table16[[#This Row],[Unit Cost]]</f>
        <v>249.5</v>
      </c>
    </row>
    <row r="29" spans="1:8" x14ac:dyDescent="0.2">
      <c r="A29" s="4" t="s">
        <v>48</v>
      </c>
      <c r="B29" s="4" t="s">
        <v>30</v>
      </c>
      <c r="C29" s="2" t="s">
        <v>51</v>
      </c>
      <c r="D29" s="5">
        <v>66</v>
      </c>
      <c r="E29" s="6">
        <v>1.99</v>
      </c>
      <c r="F29" s="7">
        <f>Table16[[#This Row],[Units]]*Table16[[#This Row],[Unit Cost]]</f>
        <v>131.34</v>
      </c>
    </row>
    <row r="30" spans="1:8" hidden="1" x14ac:dyDescent="0.2">
      <c r="A30" s="4" t="s">
        <v>46</v>
      </c>
      <c r="B30" s="4" t="s">
        <v>31</v>
      </c>
      <c r="C30" s="2" t="s">
        <v>55</v>
      </c>
      <c r="D30" s="5">
        <v>96</v>
      </c>
      <c r="E30" s="6">
        <v>4.99</v>
      </c>
      <c r="F30" s="7">
        <f>Table16[[#This Row],[Units]]*Table16[[#This Row],[Unit Cost]]</f>
        <v>479.04</v>
      </c>
    </row>
    <row r="31" spans="1:8" x14ac:dyDescent="0.2">
      <c r="A31" s="4" t="s">
        <v>48</v>
      </c>
      <c r="B31" s="4" t="s">
        <v>42</v>
      </c>
      <c r="C31" s="2" t="s">
        <v>51</v>
      </c>
      <c r="D31" s="5">
        <v>53</v>
      </c>
      <c r="E31" s="6">
        <v>1.29</v>
      </c>
      <c r="F31" s="7">
        <f>Table16[[#This Row],[Units]]*Table16[[#This Row],[Unit Cost]]</f>
        <v>68.37</v>
      </c>
    </row>
    <row r="32" spans="1:8" x14ac:dyDescent="0.2">
      <c r="A32" s="4" t="s">
        <v>48</v>
      </c>
      <c r="B32" s="4" t="s">
        <v>42</v>
      </c>
      <c r="C32" s="2" t="s">
        <v>52</v>
      </c>
      <c r="D32" s="5">
        <v>80</v>
      </c>
      <c r="E32" s="6">
        <v>8.99</v>
      </c>
      <c r="F32" s="7">
        <f>Table16[[#This Row],[Units]]*Table16[[#This Row],[Unit Cost]]</f>
        <v>719.2</v>
      </c>
    </row>
    <row r="33" spans="1:7" x14ac:dyDescent="0.2">
      <c r="A33" s="4" t="s">
        <v>48</v>
      </c>
      <c r="B33" s="4" t="s">
        <v>40</v>
      </c>
      <c r="C33" s="2" t="s">
        <v>53</v>
      </c>
      <c r="D33" s="5">
        <v>5</v>
      </c>
      <c r="E33" s="6">
        <v>125</v>
      </c>
      <c r="F33" s="7">
        <f>Table16[[#This Row],[Units]]*Table16[[#This Row],[Unit Cost]]</f>
        <v>625</v>
      </c>
    </row>
    <row r="34" spans="1:7" hidden="1" x14ac:dyDescent="0.2">
      <c r="A34" s="4" t="s">
        <v>46</v>
      </c>
      <c r="B34" s="4" t="s">
        <v>39</v>
      </c>
      <c r="C34" s="2" t="s">
        <v>54</v>
      </c>
      <c r="D34" s="5">
        <v>62</v>
      </c>
      <c r="E34" s="6">
        <v>4.99</v>
      </c>
      <c r="F34" s="7">
        <f>Table16[[#This Row],[Units]]*Table16[[#This Row],[Unit Cost]]</f>
        <v>309.38</v>
      </c>
    </row>
    <row r="35" spans="1:7" x14ac:dyDescent="0.2">
      <c r="A35" s="4" t="s">
        <v>48</v>
      </c>
      <c r="B35" s="4" t="s">
        <v>43</v>
      </c>
      <c r="C35" s="2" t="s">
        <v>54</v>
      </c>
      <c r="D35" s="5">
        <v>55</v>
      </c>
      <c r="E35" s="6">
        <v>12.49</v>
      </c>
      <c r="F35" s="7">
        <f>Table16[[#This Row],[Units]]*Table16[[#This Row],[Unit Cost]]</f>
        <v>686.95</v>
      </c>
    </row>
    <row r="36" spans="1:7" x14ac:dyDescent="0.2">
      <c r="A36" s="4" t="s">
        <v>48</v>
      </c>
      <c r="B36" s="4" t="s">
        <v>40</v>
      </c>
      <c r="C36" s="2" t="s">
        <v>54</v>
      </c>
      <c r="D36" s="5">
        <v>42</v>
      </c>
      <c r="E36" s="6">
        <v>23.95</v>
      </c>
      <c r="F36" s="7">
        <f>Table16[[#This Row],[Units]]*Table16[[#This Row],[Unit Cost]]</f>
        <v>1005.9</v>
      </c>
    </row>
    <row r="37" spans="1:7" x14ac:dyDescent="0.2">
      <c r="A37" s="4" t="s">
        <v>49</v>
      </c>
      <c r="B37" s="4" t="s">
        <v>45</v>
      </c>
      <c r="C37" s="2" t="s">
        <v>53</v>
      </c>
      <c r="D37" s="5">
        <v>3</v>
      </c>
      <c r="E37" s="6">
        <v>275</v>
      </c>
      <c r="F37" s="7">
        <f>Table16[[#This Row],[Units]]*Table16[[#This Row],[Unit Cost]]</f>
        <v>825</v>
      </c>
    </row>
    <row r="38" spans="1:7" x14ac:dyDescent="0.2">
      <c r="A38" s="4" t="s">
        <v>48</v>
      </c>
      <c r="B38" s="4" t="s">
        <v>42</v>
      </c>
      <c r="C38" s="2" t="s">
        <v>51</v>
      </c>
      <c r="D38" s="5">
        <v>7</v>
      </c>
      <c r="E38" s="6">
        <v>1.29</v>
      </c>
      <c r="F38" s="7">
        <f>Table16[[#This Row],[Units]]*Table16[[#This Row],[Unit Cost]]</f>
        <v>9.0300000000000011</v>
      </c>
    </row>
    <row r="39" spans="1:7" x14ac:dyDescent="0.2">
      <c r="A39" s="4" t="s">
        <v>49</v>
      </c>
      <c r="B39" s="4" t="s">
        <v>45</v>
      </c>
      <c r="C39" s="2" t="s">
        <v>55</v>
      </c>
      <c r="D39" s="5">
        <v>76</v>
      </c>
      <c r="E39" s="6">
        <v>1.99</v>
      </c>
      <c r="F39" s="7">
        <f>Table16[[#This Row],[Units]]*Table16[[#This Row],[Unit Cost]]</f>
        <v>151.24</v>
      </c>
    </row>
    <row r="40" spans="1:7" x14ac:dyDescent="0.2">
      <c r="A40" s="4" t="s">
        <v>49</v>
      </c>
      <c r="B40" s="4" t="s">
        <v>50</v>
      </c>
      <c r="C40" s="2" t="s">
        <v>52</v>
      </c>
      <c r="D40" s="5">
        <v>57</v>
      </c>
      <c r="E40" s="6">
        <v>19.989999999999998</v>
      </c>
      <c r="F40" s="7">
        <f>Table16[[#This Row],[Units]]*Table16[[#This Row],[Unit Cost]]</f>
        <v>1139.4299999999998</v>
      </c>
    </row>
    <row r="41" spans="1:7" x14ac:dyDescent="0.2">
      <c r="A41" s="4" t="s">
        <v>48</v>
      </c>
      <c r="B41" s="4" t="s">
        <v>30</v>
      </c>
      <c r="C41" s="2" t="s">
        <v>51</v>
      </c>
      <c r="D41" s="5">
        <v>14</v>
      </c>
      <c r="E41" s="6">
        <v>1.29</v>
      </c>
      <c r="F41" s="7">
        <f>Table16[[#This Row],[Units]]*Table16[[#This Row],[Unit Cost]]</f>
        <v>18.060000000000002</v>
      </c>
    </row>
    <row r="42" spans="1:7" x14ac:dyDescent="0.2">
      <c r="A42" s="4" t="s">
        <v>48</v>
      </c>
      <c r="B42" s="4" t="s">
        <v>41</v>
      </c>
      <c r="C42" s="2" t="s">
        <v>52</v>
      </c>
      <c r="D42" s="5">
        <v>11</v>
      </c>
      <c r="E42" s="6">
        <v>4.99</v>
      </c>
      <c r="F42" s="7">
        <f>Table16[[#This Row],[Units]]*Table16[[#This Row],[Unit Cost]]</f>
        <v>54.89</v>
      </c>
    </row>
    <row r="43" spans="1:7" x14ac:dyDescent="0.2">
      <c r="A43" s="4" t="s">
        <v>48</v>
      </c>
      <c r="B43" s="4" t="s">
        <v>41</v>
      </c>
      <c r="C43" s="2" t="s">
        <v>52</v>
      </c>
      <c r="D43" s="5">
        <v>94</v>
      </c>
      <c r="E43" s="6">
        <v>19.989999999999998</v>
      </c>
      <c r="F43" s="7">
        <f>Table16[[#This Row],[Units]]*Table16[[#This Row],[Unit Cost]]</f>
        <v>1879.06</v>
      </c>
    </row>
    <row r="44" spans="1:7" x14ac:dyDescent="0.2">
      <c r="A44" s="4" t="s">
        <v>48</v>
      </c>
      <c r="B44" s="4" t="s">
        <v>30</v>
      </c>
      <c r="C44" s="2" t="s">
        <v>52</v>
      </c>
      <c r="D44" s="5">
        <v>28</v>
      </c>
      <c r="E44" s="6">
        <v>4.99</v>
      </c>
      <c r="F44" s="7">
        <f>Table16[[#This Row],[Units]]*Table16[[#This Row],[Unit Cost]]</f>
        <v>139.72</v>
      </c>
    </row>
    <row r="45" spans="1:7" x14ac:dyDescent="0.2">
      <c r="D45">
        <f>SUBTOTAL(101,Table16[Units])</f>
        <v>47.821428571428569</v>
      </c>
      <c r="E45" s="8">
        <f>SUBTOTAL(101,Table16[Unit Cost])</f>
        <v>25.146666666666668</v>
      </c>
      <c r="F45" s="8">
        <f>SUBTOTAL(109,Table16[Total])</f>
        <v>13402.369999999997</v>
      </c>
      <c r="G45" t="s">
        <v>34</v>
      </c>
    </row>
    <row r="46" spans="1:7" x14ac:dyDescent="0.2">
      <c r="D46">
        <f>SUBTOTAL(1, Table16[Units])</f>
        <v>47.821428571428569</v>
      </c>
      <c r="G46" t="s">
        <v>35</v>
      </c>
    </row>
    <row r="47" spans="1:7" x14ac:dyDescent="0.2">
      <c r="D47">
        <f>SUBTOTAL(4,Table16[Units])</f>
        <v>96</v>
      </c>
    </row>
    <row r="48" spans="1:7" x14ac:dyDescent="0.2">
      <c r="D48">
        <f>SUBTOTAL(104, Table16[Units])</f>
        <v>96</v>
      </c>
      <c r="E48">
        <f>SUBTOTAL(8,Table16[Unit Cost])</f>
        <v>55.167972492098059</v>
      </c>
    </row>
    <row r="49" spans="4:7" x14ac:dyDescent="0.2">
      <c r="D49">
        <f>SUBTOTAL(109,Table16[#Data])</f>
        <v>15495.769999999997</v>
      </c>
      <c r="E49">
        <f>SUBTOTAL(108,Table16[Unit Cost])</f>
        <v>55.167972492098059</v>
      </c>
      <c r="G49" t="s">
        <v>38</v>
      </c>
    </row>
    <row r="50" spans="4:7" x14ac:dyDescent="0.2">
      <c r="D50">
        <f>SUBTOTAL(2,D6:D45)</f>
        <v>25</v>
      </c>
    </row>
    <row r="51" spans="4:7" x14ac:dyDescent="0.2">
      <c r="D51">
        <f>SUBTOTAL(102, Table16[[#All],[Units]])</f>
        <v>28</v>
      </c>
    </row>
    <row r="52" spans="4:7" x14ac:dyDescent="0.2">
      <c r="D52">
        <f>COUNTA(Table16[[#All],[Units]])</f>
        <v>45</v>
      </c>
    </row>
    <row r="53" spans="4:7" x14ac:dyDescent="0.2">
      <c r="D53">
        <f>COUNT(Table16[[#All],[Units]])</f>
        <v>41</v>
      </c>
    </row>
    <row r="54" spans="4:7" x14ac:dyDescent="0.2">
      <c r="D54">
        <f>SUBTOTAL(3,Table16[[#All],[Units]])</f>
        <v>31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673F-08B4-F543-8A6A-D28D5C3CA8E0}">
  <dimension ref="A1:O61"/>
  <sheetViews>
    <sheetView topLeftCell="A10" workbookViewId="0">
      <selection activeCell="K39" sqref="K39"/>
    </sheetView>
  </sheetViews>
  <sheetFormatPr baseColWidth="10" defaultRowHeight="16" x14ac:dyDescent="0.2"/>
  <cols>
    <col min="5" max="5" width="12.1640625" bestFit="1" customWidth="1"/>
    <col min="14" max="14" width="11" customWidth="1"/>
  </cols>
  <sheetData>
    <row r="1" spans="1:15" x14ac:dyDescent="0.2">
      <c r="A1" s="1" t="s">
        <v>26</v>
      </c>
      <c r="B1" s="1" t="s">
        <v>27</v>
      </c>
      <c r="C1" s="2" t="s">
        <v>28</v>
      </c>
      <c r="D1" s="3" t="s">
        <v>29</v>
      </c>
      <c r="E1" s="2" t="s">
        <v>33</v>
      </c>
      <c r="F1" s="2" t="s">
        <v>6</v>
      </c>
      <c r="J1" s="19" t="s">
        <v>26</v>
      </c>
      <c r="K1" s="19" t="s">
        <v>27</v>
      </c>
      <c r="L1" s="20" t="s">
        <v>28</v>
      </c>
      <c r="M1" s="20" t="s">
        <v>29</v>
      </c>
      <c r="N1" s="20" t="s">
        <v>33</v>
      </c>
      <c r="O1" s="20" t="s">
        <v>6</v>
      </c>
    </row>
    <row r="2" spans="1:15" x14ac:dyDescent="0.2">
      <c r="A2" s="4" t="s">
        <v>46</v>
      </c>
      <c r="B2" s="4" t="s">
        <v>39</v>
      </c>
      <c r="C2" s="2" t="s">
        <v>51</v>
      </c>
      <c r="D2" s="5">
        <v>95</v>
      </c>
      <c r="E2" s="6">
        <v>1.99</v>
      </c>
      <c r="F2" s="7">
        <f>Table17[[#This Row],[Units]]*Table17[[#This Row],[Unit Cost]]</f>
        <v>189.05</v>
      </c>
      <c r="J2" s="11" t="s">
        <v>46</v>
      </c>
      <c r="K2" s="11" t="s">
        <v>39</v>
      </c>
      <c r="L2" s="12" t="s">
        <v>51</v>
      </c>
      <c r="M2" s="11">
        <v>1</v>
      </c>
      <c r="N2" s="13">
        <v>1.99</v>
      </c>
      <c r="O2" s="17">
        <f>Table17[[#This Row],[Units]]*Table17[[#This Row],[Unit Cost]]</f>
        <v>189.05</v>
      </c>
    </row>
    <row r="3" spans="1:15" x14ac:dyDescent="0.2">
      <c r="A3" s="4" t="s">
        <v>48</v>
      </c>
      <c r="B3" s="4" t="s">
        <v>40</v>
      </c>
      <c r="C3" s="2" t="s">
        <v>52</v>
      </c>
      <c r="D3" s="5">
        <v>50</v>
      </c>
      <c r="E3" s="6">
        <v>19.989999999999998</v>
      </c>
      <c r="F3" s="7">
        <f>Table17[[#This Row],[Units]]*Table17[[#This Row],[Unit Cost]]</f>
        <v>999.49999999999989</v>
      </c>
      <c r="J3" s="14" t="s">
        <v>48</v>
      </c>
      <c r="K3" s="14" t="s">
        <v>40</v>
      </c>
      <c r="L3" s="15" t="s">
        <v>52</v>
      </c>
      <c r="M3" s="14">
        <v>2</v>
      </c>
      <c r="N3" s="16">
        <v>19.989999999999998</v>
      </c>
      <c r="O3" s="18">
        <f>Table17[[#This Row],[Units]]*Table17[[#This Row],[Unit Cost]]</f>
        <v>999.49999999999989</v>
      </c>
    </row>
    <row r="4" spans="1:15" x14ac:dyDescent="0.2">
      <c r="A4" s="4" t="s">
        <v>48</v>
      </c>
      <c r="B4" s="4" t="s">
        <v>41</v>
      </c>
      <c r="C4" s="2" t="s">
        <v>51</v>
      </c>
      <c r="D4" s="5">
        <v>36</v>
      </c>
      <c r="E4" s="6">
        <v>4.99</v>
      </c>
      <c r="F4" s="7">
        <f>Table17[[#This Row],[Units]]*Table17[[#This Row],[Unit Cost]]</f>
        <v>179.64000000000001</v>
      </c>
      <c r="J4" s="11" t="s">
        <v>48</v>
      </c>
      <c r="K4" s="11" t="s">
        <v>41</v>
      </c>
      <c r="L4" s="12" t="s">
        <v>51</v>
      </c>
      <c r="M4" s="11">
        <v>3</v>
      </c>
      <c r="N4" s="13">
        <v>4.99</v>
      </c>
      <c r="O4" s="17">
        <f>Table17[[#This Row],[Units]]*Table17[[#This Row],[Unit Cost]]</f>
        <v>179.64000000000001</v>
      </c>
    </row>
    <row r="5" spans="1:15" x14ac:dyDescent="0.2">
      <c r="A5" s="4" t="s">
        <v>48</v>
      </c>
      <c r="B5" s="4" t="s">
        <v>42</v>
      </c>
      <c r="C5" s="2" t="s">
        <v>55</v>
      </c>
      <c r="D5" s="5">
        <v>27</v>
      </c>
      <c r="E5" s="6">
        <v>19.989999999999998</v>
      </c>
      <c r="F5" s="7">
        <f>Table17[[#This Row],[Units]]*Table17[[#This Row],[Unit Cost]]</f>
        <v>539.7299999999999</v>
      </c>
      <c r="J5" s="14" t="s">
        <v>48</v>
      </c>
      <c r="K5" s="14" t="s">
        <v>42</v>
      </c>
      <c r="L5" s="15" t="s">
        <v>55</v>
      </c>
      <c r="M5" s="14">
        <v>4</v>
      </c>
      <c r="N5" s="16">
        <v>19.989999999999998</v>
      </c>
      <c r="O5" s="18">
        <f>Table17[[#This Row],[Units]]*Table17[[#This Row],[Unit Cost]]</f>
        <v>539.7299999999999</v>
      </c>
    </row>
    <row r="6" spans="1:15" x14ac:dyDescent="0.2">
      <c r="A6" s="4" t="s">
        <v>49</v>
      </c>
      <c r="B6" s="4" t="s">
        <v>45</v>
      </c>
      <c r="C6" s="2" t="s">
        <v>51</v>
      </c>
      <c r="D6" s="5">
        <v>56</v>
      </c>
      <c r="E6" s="6">
        <v>2.99</v>
      </c>
      <c r="F6" s="7">
        <f>Table17[[#This Row],[Units]]*Table17[[#This Row],[Unit Cost]]</f>
        <v>167.44</v>
      </c>
      <c r="J6" s="11" t="s">
        <v>49</v>
      </c>
      <c r="K6" s="11" t="s">
        <v>45</v>
      </c>
      <c r="L6" s="12" t="s">
        <v>51</v>
      </c>
      <c r="M6" s="11">
        <v>5</v>
      </c>
      <c r="N6" s="13">
        <v>2.99</v>
      </c>
      <c r="O6" s="17">
        <f>Table17[[#This Row],[Units]]*Table17[[#This Row],[Unit Cost]]</f>
        <v>167.44</v>
      </c>
    </row>
    <row r="7" spans="1:15" x14ac:dyDescent="0.2">
      <c r="A7" s="4" t="s">
        <v>46</v>
      </c>
      <c r="B7" s="4" t="s">
        <v>39</v>
      </c>
      <c r="C7" s="2" t="s">
        <v>52</v>
      </c>
      <c r="D7" s="5">
        <v>45</v>
      </c>
      <c r="E7" s="6">
        <v>4.99</v>
      </c>
      <c r="F7" s="7">
        <f>Table17[[#This Row],[Units]]*Table17[[#This Row],[Unit Cost]]</f>
        <v>224.55</v>
      </c>
      <c r="J7" s="21" t="s">
        <v>46</v>
      </c>
      <c r="K7" s="21" t="s">
        <v>39</v>
      </c>
      <c r="L7" s="22" t="s">
        <v>52</v>
      </c>
      <c r="M7" s="21">
        <v>6</v>
      </c>
      <c r="N7" s="23">
        <v>4.99</v>
      </c>
      <c r="O7" s="24">
        <f>Table17[[#This Row],[Units]]*Table17[[#This Row],[Unit Cost]]</f>
        <v>224.55</v>
      </c>
    </row>
    <row r="8" spans="1:15" x14ac:dyDescent="0.2">
      <c r="A8" s="4" t="s">
        <v>48</v>
      </c>
      <c r="B8" s="4" t="s">
        <v>30</v>
      </c>
      <c r="C8" s="2" t="s">
        <v>51</v>
      </c>
      <c r="D8" s="5">
        <v>23</v>
      </c>
      <c r="E8" s="6">
        <v>1.99</v>
      </c>
      <c r="F8" s="7">
        <f>Table17[[#This Row],[Units]]*Table17[[#This Row],[Unit Cost]]</f>
        <v>45.77</v>
      </c>
      <c r="J8" s="21" t="s">
        <v>6</v>
      </c>
      <c r="K8" s="21"/>
      <c r="L8" s="22"/>
      <c r="M8" s="21">
        <f>SUBTOTAL(109,Table7[Units])</f>
        <v>21</v>
      </c>
      <c r="N8" s="26">
        <f>SUBTOTAL(101,Table7[Unit Cost])</f>
        <v>9.1566666666666663</v>
      </c>
      <c r="O8" s="25">
        <f>SUBTOTAL(109,Table7[Total])</f>
        <v>2299.9100000000003</v>
      </c>
    </row>
    <row r="9" spans="1:15" x14ac:dyDescent="0.2">
      <c r="A9" s="4" t="s">
        <v>48</v>
      </c>
      <c r="B9" s="4" t="s">
        <v>41</v>
      </c>
      <c r="C9" s="2" t="s">
        <v>51</v>
      </c>
      <c r="D9" s="5">
        <v>90</v>
      </c>
      <c r="E9" s="6">
        <v>4.99</v>
      </c>
      <c r="F9" s="7">
        <f>Table17[[#This Row],[Units]]*Table17[[#This Row],[Unit Cost]]</f>
        <v>449.1</v>
      </c>
      <c r="M9">
        <f>SUBTOTAL(9,Table7[Units])</f>
        <v>21</v>
      </c>
    </row>
    <row r="10" spans="1:15" x14ac:dyDescent="0.2">
      <c r="A10" s="4" t="s">
        <v>49</v>
      </c>
      <c r="B10" s="4" t="s">
        <v>50</v>
      </c>
      <c r="C10" s="2" t="s">
        <v>51</v>
      </c>
      <c r="D10" s="5" t="b">
        <v>1</v>
      </c>
      <c r="E10" s="6">
        <v>1.99</v>
      </c>
      <c r="F10" s="7">
        <f>Table17[[#This Row],[Units]]*Table17[[#This Row],[Unit Cost]]</f>
        <v>1.99</v>
      </c>
      <c r="M10">
        <f>SUBTOTAL(6,Table7[Units])</f>
        <v>720</v>
      </c>
    </row>
    <row r="11" spans="1:15" x14ac:dyDescent="0.2">
      <c r="A11" s="4" t="s">
        <v>46</v>
      </c>
      <c r="B11" s="4" t="s">
        <v>39</v>
      </c>
      <c r="C11" s="2" t="s">
        <v>52</v>
      </c>
      <c r="D11" s="9" t="s">
        <v>56</v>
      </c>
      <c r="E11" s="6">
        <v>8.99</v>
      </c>
      <c r="F11" s="7">
        <f>Table17[[#This Row],[Units]]*Table17[[#This Row],[Unit Cost]]</f>
        <v>539.4</v>
      </c>
      <c r="M11">
        <f>SUBTOTAL(106,Table7[Units])</f>
        <v>720</v>
      </c>
    </row>
    <row r="12" spans="1:15" x14ac:dyDescent="0.2">
      <c r="A12" s="4" t="s">
        <v>48</v>
      </c>
      <c r="B12" s="4" t="s">
        <v>43</v>
      </c>
      <c r="C12" s="2" t="s">
        <v>51</v>
      </c>
      <c r="D12" s="10">
        <v>0.5</v>
      </c>
      <c r="E12" s="6">
        <v>4.99</v>
      </c>
      <c r="F12" s="7">
        <f>Table17[[#This Row],[Units]]*Table17[[#This Row],[Unit Cost]]</f>
        <v>2.4950000000000001</v>
      </c>
    </row>
    <row r="13" spans="1:15" x14ac:dyDescent="0.2">
      <c r="A13" s="4" t="s">
        <v>46</v>
      </c>
      <c r="B13" s="4" t="s">
        <v>31</v>
      </c>
      <c r="C13" s="2" t="s">
        <v>52</v>
      </c>
      <c r="D13" s="5">
        <v>29</v>
      </c>
      <c r="E13" s="6">
        <v>1.99</v>
      </c>
      <c r="F13" s="7">
        <f>Table17[[#This Row],[Units]]*Table17[[#This Row],[Unit Cost]]</f>
        <v>57.71</v>
      </c>
    </row>
    <row r="14" spans="1:15" x14ac:dyDescent="0.2">
      <c r="A14" s="4" t="s">
        <v>46</v>
      </c>
      <c r="B14" s="4" t="s">
        <v>32</v>
      </c>
      <c r="C14" s="2" t="s">
        <v>52</v>
      </c>
      <c r="D14" s="5">
        <v>81</v>
      </c>
      <c r="E14" s="6">
        <v>19.989999999999998</v>
      </c>
      <c r="F14" s="7">
        <f>Table17[[#This Row],[Units]]*Table17[[#This Row],[Unit Cost]]</f>
        <v>1619.1899999999998</v>
      </c>
    </row>
    <row r="15" spans="1:15" x14ac:dyDescent="0.2">
      <c r="A15" s="4" t="s">
        <v>46</v>
      </c>
      <c r="B15" s="4" t="s">
        <v>39</v>
      </c>
      <c r="C15" s="2" t="s">
        <v>51</v>
      </c>
      <c r="D15" s="5">
        <v>35</v>
      </c>
      <c r="E15" s="6">
        <v>4.99</v>
      </c>
      <c r="F15" s="7">
        <f>Table17[[#This Row],[Units]]*Table17[[#This Row],[Unit Cost]]</f>
        <v>174.65</v>
      </c>
    </row>
    <row r="16" spans="1:15" ht="34" customHeight="1" x14ac:dyDescent="0.2">
      <c r="A16" s="4" t="s">
        <v>48</v>
      </c>
      <c r="B16" s="4" t="s">
        <v>44</v>
      </c>
      <c r="C16" s="2" t="s">
        <v>53</v>
      </c>
      <c r="D16" s="5">
        <v>2</v>
      </c>
      <c r="E16" s="6">
        <v>125</v>
      </c>
      <c r="F16" s="7">
        <f>Table17[[#This Row],[Units]]*Table17[[#This Row],[Unit Cost]]</f>
        <v>250</v>
      </c>
      <c r="J16" t="s">
        <v>59</v>
      </c>
    </row>
    <row r="17" spans="1:6" x14ac:dyDescent="0.2">
      <c r="A17" s="4" t="s">
        <v>46</v>
      </c>
      <c r="B17" s="4" t="s">
        <v>39</v>
      </c>
      <c r="C17" s="2" t="s">
        <v>54</v>
      </c>
      <c r="D17" s="5">
        <v>16</v>
      </c>
      <c r="E17" s="6">
        <v>15.99</v>
      </c>
      <c r="F17" s="7">
        <f>Table17[[#This Row],[Units]]*Table17[[#This Row],[Unit Cost]]</f>
        <v>255.84</v>
      </c>
    </row>
    <row r="18" spans="1:6" x14ac:dyDescent="0.2">
      <c r="A18" s="4" t="s">
        <v>48</v>
      </c>
      <c r="B18" s="4" t="s">
        <v>43</v>
      </c>
      <c r="C18" s="2" t="s">
        <v>52</v>
      </c>
      <c r="D18" s="5">
        <v>28</v>
      </c>
      <c r="E18" s="6">
        <v>8.99</v>
      </c>
      <c r="F18" s="7">
        <f>Table17[[#This Row],[Units]]*Table17[[#This Row],[Unit Cost]]</f>
        <v>251.72</v>
      </c>
    </row>
    <row r="19" spans="1:6" x14ac:dyDescent="0.2">
      <c r="A19" s="4" t="s">
        <v>46</v>
      </c>
      <c r="B19" s="4" t="s">
        <v>39</v>
      </c>
      <c r="C19" s="2" t="s">
        <v>55</v>
      </c>
      <c r="D19" s="5">
        <v>12</v>
      </c>
      <c r="E19" s="6">
        <v>8.99</v>
      </c>
      <c r="F19" s="7">
        <f>Table17[[#This Row],[Units]]*Table17[[#This Row],[Unit Cost]]</f>
        <v>107.88</v>
      </c>
    </row>
    <row r="20" spans="1:6" x14ac:dyDescent="0.2">
      <c r="A20" s="4" t="s">
        <v>46</v>
      </c>
      <c r="B20" s="4" t="s">
        <v>32</v>
      </c>
      <c r="C20" s="2" t="s">
        <v>55</v>
      </c>
      <c r="D20" s="5">
        <v>15</v>
      </c>
      <c r="E20" s="6">
        <v>19.989999999999998</v>
      </c>
      <c r="F20" s="7">
        <f>Table17[[#This Row],[Units]]*Table17[[#This Row],[Unit Cost]]</f>
        <v>299.84999999999997</v>
      </c>
    </row>
    <row r="21" spans="1:6" x14ac:dyDescent="0.2">
      <c r="A21" s="4" t="s">
        <v>48</v>
      </c>
      <c r="B21" s="4" t="s">
        <v>40</v>
      </c>
      <c r="C21" s="2" t="s">
        <v>54</v>
      </c>
      <c r="D21" s="5">
        <v>96</v>
      </c>
      <c r="E21" s="6">
        <v>4.99</v>
      </c>
      <c r="F21" s="7">
        <f>Table17[[#This Row],[Units]]*Table17[[#This Row],[Unit Cost]]</f>
        <v>479.04</v>
      </c>
    </row>
    <row r="22" spans="1:6" x14ac:dyDescent="0.2">
      <c r="A22" s="4" t="s">
        <v>48</v>
      </c>
      <c r="B22" s="4" t="s">
        <v>44</v>
      </c>
      <c r="C22" s="2" t="s">
        <v>51</v>
      </c>
      <c r="D22" s="5">
        <v>67</v>
      </c>
      <c r="E22" s="6">
        <v>1.29</v>
      </c>
      <c r="F22" s="7">
        <f>Table17[[#This Row],[Units]]*Table17[[#This Row],[Unit Cost]]</f>
        <v>86.43</v>
      </c>
    </row>
    <row r="23" spans="1:6" x14ac:dyDescent="0.2">
      <c r="A23" s="4" t="s">
        <v>46</v>
      </c>
      <c r="B23" s="4" t="s">
        <v>32</v>
      </c>
      <c r="C23" s="2" t="s">
        <v>54</v>
      </c>
      <c r="D23" s="5">
        <v>74</v>
      </c>
      <c r="E23" s="6">
        <v>15.99</v>
      </c>
      <c r="F23" s="7">
        <f>Table17[[#This Row],[Units]]*Table17[[#This Row],[Unit Cost]]</f>
        <v>1183.26</v>
      </c>
    </row>
    <row r="24" spans="1:6" x14ac:dyDescent="0.2">
      <c r="A24" s="4" t="s">
        <v>48</v>
      </c>
      <c r="B24" s="4" t="s">
        <v>42</v>
      </c>
      <c r="C24" s="2" t="s">
        <v>52</v>
      </c>
      <c r="D24" s="5">
        <v>46</v>
      </c>
      <c r="E24" s="6">
        <v>8.99</v>
      </c>
      <c r="F24" s="7">
        <f>Table17[[#This Row],[Units]]*Table17[[#This Row],[Unit Cost]]</f>
        <v>413.54</v>
      </c>
    </row>
    <row r="25" spans="1:6" x14ac:dyDescent="0.2">
      <c r="A25" s="4" t="s">
        <v>48</v>
      </c>
      <c r="B25" s="4" t="s">
        <v>44</v>
      </c>
      <c r="C25" s="2" t="s">
        <v>52</v>
      </c>
      <c r="D25" s="5">
        <v>87</v>
      </c>
      <c r="E25" s="6">
        <v>15</v>
      </c>
      <c r="F25" s="7">
        <f>Table17[[#This Row],[Units]]*Table17[[#This Row],[Unit Cost]]</f>
        <v>1305</v>
      </c>
    </row>
    <row r="26" spans="1:6" hidden="1" x14ac:dyDescent="0.2">
      <c r="A26" s="4" t="s">
        <v>46</v>
      </c>
      <c r="B26" s="4" t="s">
        <v>39</v>
      </c>
      <c r="C26" s="2" t="s">
        <v>52</v>
      </c>
      <c r="D26" s="5">
        <v>4</v>
      </c>
      <c r="E26" s="6">
        <v>4.99</v>
      </c>
      <c r="F26" s="7">
        <f>Table17[[#This Row],[Units]]*Table17[[#This Row],[Unit Cost]]</f>
        <v>19.96</v>
      </c>
    </row>
    <row r="27" spans="1:6" x14ac:dyDescent="0.2">
      <c r="A27" s="4" t="s">
        <v>49</v>
      </c>
      <c r="B27" s="4" t="s">
        <v>45</v>
      </c>
      <c r="C27" s="2" t="s">
        <v>52</v>
      </c>
      <c r="D27" s="5">
        <v>7</v>
      </c>
      <c r="E27" s="6">
        <v>19.989999999999998</v>
      </c>
      <c r="F27" s="7">
        <f>Table17[[#This Row],[Units]]*Table17[[#This Row],[Unit Cost]]</f>
        <v>139.92999999999998</v>
      </c>
    </row>
    <row r="28" spans="1:6" x14ac:dyDescent="0.2">
      <c r="A28" s="4" t="s">
        <v>48</v>
      </c>
      <c r="B28" s="4" t="s">
        <v>41</v>
      </c>
      <c r="C28" s="2" t="s">
        <v>54</v>
      </c>
      <c r="D28" s="5">
        <v>50</v>
      </c>
      <c r="E28" s="6">
        <v>4.99</v>
      </c>
      <c r="F28" s="7">
        <f>Table17[[#This Row],[Units]]*Table17[[#This Row],[Unit Cost]]</f>
        <v>249.5</v>
      </c>
    </row>
    <row r="29" spans="1:6" x14ac:dyDescent="0.2">
      <c r="A29" s="4" t="s">
        <v>48</v>
      </c>
      <c r="B29" s="4" t="s">
        <v>30</v>
      </c>
      <c r="C29" s="2" t="s">
        <v>51</v>
      </c>
      <c r="D29" s="5">
        <v>66</v>
      </c>
      <c r="E29" s="6">
        <v>1.99</v>
      </c>
      <c r="F29" s="7">
        <f>Table17[[#This Row],[Units]]*Table17[[#This Row],[Unit Cost]]</f>
        <v>131.34</v>
      </c>
    </row>
    <row r="30" spans="1:6" x14ac:dyDescent="0.2">
      <c r="A30" s="4" t="s">
        <v>46</v>
      </c>
      <c r="B30" s="4" t="s">
        <v>31</v>
      </c>
      <c r="C30" s="2" t="s">
        <v>55</v>
      </c>
      <c r="D30" s="5">
        <v>96</v>
      </c>
      <c r="E30" s="6">
        <v>4.99</v>
      </c>
      <c r="F30" s="7">
        <f>Table17[[#This Row],[Units]]*Table17[[#This Row],[Unit Cost]]</f>
        <v>479.04</v>
      </c>
    </row>
    <row r="31" spans="1:6" hidden="1" x14ac:dyDescent="0.2">
      <c r="A31" s="4" t="s">
        <v>48</v>
      </c>
      <c r="B31" s="4" t="s">
        <v>42</v>
      </c>
      <c r="C31" s="2" t="s">
        <v>51</v>
      </c>
      <c r="D31" s="5">
        <v>53</v>
      </c>
      <c r="E31" s="6">
        <v>1.29</v>
      </c>
      <c r="F31" s="7">
        <f>Table17[[#This Row],[Units]]*Table17[[#This Row],[Unit Cost]]</f>
        <v>68.37</v>
      </c>
    </row>
    <row r="32" spans="1:6" x14ac:dyDescent="0.2">
      <c r="A32" s="4" t="s">
        <v>48</v>
      </c>
      <c r="B32" s="4" t="s">
        <v>42</v>
      </c>
      <c r="C32" s="2" t="s">
        <v>52</v>
      </c>
      <c r="D32" s="5">
        <v>80</v>
      </c>
      <c r="E32" s="6">
        <v>8.99</v>
      </c>
      <c r="F32" s="7">
        <f>Table17[[#This Row],[Units]]*Table17[[#This Row],[Unit Cost]]</f>
        <v>719.2</v>
      </c>
    </row>
    <row r="33" spans="1:11" x14ac:dyDescent="0.2">
      <c r="A33" s="4" t="s">
        <v>48</v>
      </c>
      <c r="B33" s="4" t="s">
        <v>40</v>
      </c>
      <c r="C33" s="2" t="s">
        <v>53</v>
      </c>
      <c r="D33" s="5">
        <v>5</v>
      </c>
      <c r="E33" s="6">
        <v>125</v>
      </c>
      <c r="F33" s="7">
        <f>Table17[[#This Row],[Units]]*Table17[[#This Row],[Unit Cost]]</f>
        <v>625</v>
      </c>
    </row>
    <row r="34" spans="1:11" x14ac:dyDescent="0.2">
      <c r="A34" s="4" t="s">
        <v>46</v>
      </c>
      <c r="B34" s="4" t="s">
        <v>39</v>
      </c>
      <c r="C34" s="2" t="s">
        <v>54</v>
      </c>
      <c r="D34" s="5">
        <v>62</v>
      </c>
      <c r="E34" s="6">
        <v>4.99</v>
      </c>
      <c r="F34" s="7">
        <f>Table17[[#This Row],[Units]]*Table17[[#This Row],[Unit Cost]]</f>
        <v>309.38</v>
      </c>
    </row>
    <row r="35" spans="1:11" hidden="1" x14ac:dyDescent="0.2">
      <c r="A35" s="4" t="s">
        <v>48</v>
      </c>
      <c r="B35" s="4" t="s">
        <v>43</v>
      </c>
      <c r="C35" s="2" t="s">
        <v>54</v>
      </c>
      <c r="D35" s="5">
        <v>55</v>
      </c>
      <c r="E35" s="6">
        <v>12.49</v>
      </c>
      <c r="F35" s="7">
        <f>Table17[[#This Row],[Units]]*Table17[[#This Row],[Unit Cost]]</f>
        <v>686.95</v>
      </c>
    </row>
    <row r="36" spans="1:11" x14ac:dyDescent="0.2">
      <c r="A36" s="4" t="s">
        <v>48</v>
      </c>
      <c r="B36" s="4" t="s">
        <v>40</v>
      </c>
      <c r="C36" s="2" t="s">
        <v>54</v>
      </c>
      <c r="D36" s="5">
        <v>42</v>
      </c>
      <c r="E36" s="6">
        <v>23.95</v>
      </c>
      <c r="F36" s="7">
        <f>Table17[[#This Row],[Units]]*Table17[[#This Row],[Unit Cost]]</f>
        <v>1005.9</v>
      </c>
    </row>
    <row r="37" spans="1:11" x14ac:dyDescent="0.2">
      <c r="A37" s="4" t="s">
        <v>49</v>
      </c>
      <c r="B37" s="4" t="s">
        <v>45</v>
      </c>
      <c r="C37" s="2" t="s">
        <v>53</v>
      </c>
      <c r="D37" s="5">
        <v>3</v>
      </c>
      <c r="E37" s="6">
        <v>275</v>
      </c>
      <c r="F37" s="7">
        <f>Table17[[#This Row],[Units]]*Table17[[#This Row],[Unit Cost]]</f>
        <v>825</v>
      </c>
    </row>
    <row r="38" spans="1:11" x14ac:dyDescent="0.2">
      <c r="A38" s="4" t="s">
        <v>48</v>
      </c>
      <c r="B38" s="4" t="s">
        <v>42</v>
      </c>
      <c r="C38" s="2" t="s">
        <v>51</v>
      </c>
      <c r="D38" s="5">
        <v>7</v>
      </c>
      <c r="E38" s="6">
        <v>1.29</v>
      </c>
      <c r="F38" s="7">
        <f>Table17[[#This Row],[Units]]*Table17[[#This Row],[Unit Cost]]</f>
        <v>9.0300000000000011</v>
      </c>
      <c r="K38">
        <f ca="1">_xlfn.SHEET()</f>
        <v>6</v>
      </c>
    </row>
    <row r="39" spans="1:11" x14ac:dyDescent="0.2">
      <c r="A39" s="4" t="s">
        <v>49</v>
      </c>
      <c r="B39" s="4" t="s">
        <v>45</v>
      </c>
      <c r="C39" s="2" t="s">
        <v>55</v>
      </c>
      <c r="D39" s="5">
        <v>76</v>
      </c>
      <c r="E39" s="6">
        <v>1.99</v>
      </c>
      <c r="F39" s="7">
        <f>Table17[[#This Row],[Units]]*Table17[[#This Row],[Unit Cost]]</f>
        <v>151.24</v>
      </c>
    </row>
    <row r="40" spans="1:11" x14ac:dyDescent="0.2">
      <c r="A40" s="4" t="s">
        <v>49</v>
      </c>
      <c r="B40" s="4" t="s">
        <v>50</v>
      </c>
      <c r="C40" s="2" t="s">
        <v>52</v>
      </c>
      <c r="D40" s="5">
        <v>57</v>
      </c>
      <c r="E40" s="6">
        <v>19.989999999999998</v>
      </c>
      <c r="F40" s="7">
        <f>Table17[[#This Row],[Units]]*Table17[[#This Row],[Unit Cost]]</f>
        <v>1139.4299999999998</v>
      </c>
    </row>
    <row r="41" spans="1:11" x14ac:dyDescent="0.2">
      <c r="A41" s="4" t="s">
        <v>48</v>
      </c>
      <c r="B41" s="4" t="s">
        <v>30</v>
      </c>
      <c r="C41" s="2" t="s">
        <v>51</v>
      </c>
      <c r="D41" s="5">
        <v>14</v>
      </c>
      <c r="E41" s="6">
        <v>1.29</v>
      </c>
      <c r="F41" s="7">
        <f>Table17[[#This Row],[Units]]*Table17[[#This Row],[Unit Cost]]</f>
        <v>18.060000000000002</v>
      </c>
    </row>
    <row r="42" spans="1:11" x14ac:dyDescent="0.2">
      <c r="A42" s="4" t="s">
        <v>48</v>
      </c>
      <c r="B42" s="4" t="s">
        <v>41</v>
      </c>
      <c r="C42" s="2" t="s">
        <v>52</v>
      </c>
      <c r="D42" s="5">
        <v>11</v>
      </c>
      <c r="E42" s="6">
        <v>4.99</v>
      </c>
      <c r="F42" s="7">
        <f>Table17[[#This Row],[Units]]*Table17[[#This Row],[Unit Cost]]</f>
        <v>54.89</v>
      </c>
    </row>
    <row r="43" spans="1:11" x14ac:dyDescent="0.2">
      <c r="A43" s="4" t="s">
        <v>48</v>
      </c>
      <c r="B43" s="4" t="s">
        <v>41</v>
      </c>
      <c r="C43" s="2" t="s">
        <v>52</v>
      </c>
      <c r="D43" s="5">
        <v>94</v>
      </c>
      <c r="E43" s="6">
        <v>19.989999999999998</v>
      </c>
      <c r="F43" s="7">
        <f>Table17[[#This Row],[Units]]*Table17[[#This Row],[Unit Cost]]</f>
        <v>1879.06</v>
      </c>
    </row>
    <row r="44" spans="1:11" x14ac:dyDescent="0.2">
      <c r="A44" s="4" t="s">
        <v>48</v>
      </c>
      <c r="B44" s="4" t="s">
        <v>30</v>
      </c>
      <c r="C44" s="2" t="s">
        <v>52</v>
      </c>
      <c r="D44" s="5">
        <v>28</v>
      </c>
      <c r="E44" s="6">
        <v>4.99</v>
      </c>
      <c r="F44" s="7">
        <f>Table17[[#This Row],[Units]]*Table17[[#This Row],[Unit Cost]]</f>
        <v>139.72</v>
      </c>
    </row>
    <row r="45" spans="1:11" x14ac:dyDescent="0.2">
      <c r="A45" t="s">
        <v>6</v>
      </c>
      <c r="D45">
        <f>SUBTOTAL(105,Table17[Units])</f>
        <v>0.5</v>
      </c>
      <c r="E45" s="8">
        <f>SUBTOTAL(109,Table17[Unit Cost])</f>
        <v>854.50000000000011</v>
      </c>
      <c r="F45" s="8">
        <f>SUBTOTAL(109,Table17[Total])</f>
        <v>17698.495000000003</v>
      </c>
    </row>
    <row r="46" spans="1:11" x14ac:dyDescent="0.2">
      <c r="D46">
        <f>SUBTOTAL(9,Table17[Units])</f>
        <v>1820.5</v>
      </c>
      <c r="E46">
        <f>SUBTOTAL(9,Table17[Unit Cost])</f>
        <v>873.2700000000001</v>
      </c>
      <c r="G46" t="s">
        <v>36</v>
      </c>
    </row>
    <row r="47" spans="1:11" x14ac:dyDescent="0.2">
      <c r="D47">
        <f>SUBTOTAL(109, Table17[Units])</f>
        <v>1708.5</v>
      </c>
      <c r="E47">
        <f>SUBTOTAL(105,Table17[Units])</f>
        <v>0.5</v>
      </c>
      <c r="G47" t="s">
        <v>37</v>
      </c>
    </row>
    <row r="48" spans="1:11" x14ac:dyDescent="0.2">
      <c r="D48" t="e">
        <f>SUBTOTAL(205, Table17[Units])</f>
        <v>#VALUE!</v>
      </c>
      <c r="G48" t="s">
        <v>57</v>
      </c>
    </row>
    <row r="49" spans="4:7" x14ac:dyDescent="0.2">
      <c r="D49">
        <f>SUBTOTAL(101.2,Table17[Units])</f>
        <v>44.960526315789473</v>
      </c>
      <c r="G49" t="s">
        <v>58</v>
      </c>
    </row>
    <row r="51" spans="4:7" x14ac:dyDescent="0.2">
      <c r="E51">
        <f>SUBTOTAL(6,Table17[Unit Cost])</f>
        <v>4.5253473053046947E+37</v>
      </c>
    </row>
    <row r="52" spans="4:7" x14ac:dyDescent="0.2">
      <c r="E52">
        <f>SUBTOTAL(106, Table17[Unit Cost])</f>
        <v>5.6285848990260177E+35</v>
      </c>
    </row>
    <row r="53" spans="4:7" x14ac:dyDescent="0.2">
      <c r="D53">
        <f>SUBTOTAL(2, Table17[Units])</f>
        <v>41</v>
      </c>
    </row>
    <row r="54" spans="4:7" x14ac:dyDescent="0.2">
      <c r="D54">
        <f>SUBTOTAL(102, Table17[Units])</f>
        <v>38</v>
      </c>
    </row>
    <row r="55" spans="4:7" x14ac:dyDescent="0.2">
      <c r="D55">
        <f>COUNT(Table17[Units])</f>
        <v>41</v>
      </c>
    </row>
    <row r="56" spans="4:7" x14ac:dyDescent="0.2">
      <c r="D56">
        <f>SUBTOTAL(3, Table17[Units])</f>
        <v>43</v>
      </c>
    </row>
    <row r="57" spans="4:7" x14ac:dyDescent="0.2">
      <c r="D57">
        <f>SUBTOTAL(103, Table17[Units])</f>
        <v>40</v>
      </c>
    </row>
    <row r="58" spans="4:7" x14ac:dyDescent="0.2">
      <c r="D58">
        <f>SUBTOTAL(7, Table17[Units])</f>
        <v>30.998229689813563</v>
      </c>
    </row>
    <row r="59" spans="4:7" x14ac:dyDescent="0.2">
      <c r="D59">
        <f>SUBTOTAL(107, Table17[Units])</f>
        <v>31.453608390717047</v>
      </c>
    </row>
    <row r="60" spans="4:7" x14ac:dyDescent="0.2">
      <c r="D60">
        <f>SUBTOTAL(8,Table17[#Data])</f>
        <v>325.68209111039317</v>
      </c>
    </row>
    <row r="61" spans="4:7" x14ac:dyDescent="0.2">
      <c r="D61">
        <f>SUBTOTAL(108,Table17[#Data])</f>
        <v>332.38676132436507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3473F-5DA6-0940-893D-89F02152A971}">
  <dimension ref="B2:H11"/>
  <sheetViews>
    <sheetView tabSelected="1" workbookViewId="0">
      <selection activeCell="H14" sqref="H14"/>
    </sheetView>
  </sheetViews>
  <sheetFormatPr baseColWidth="10" defaultRowHeight="16" x14ac:dyDescent="0.2"/>
  <sheetData>
    <row r="2" spans="2:8" x14ac:dyDescent="0.2">
      <c r="H2" t="s">
        <v>60</v>
      </c>
    </row>
    <row r="3" spans="2:8" x14ac:dyDescent="0.2">
      <c r="B3">
        <v>1</v>
      </c>
      <c r="C3">
        <v>2</v>
      </c>
      <c r="D3">
        <v>3</v>
      </c>
      <c r="E3">
        <v>4</v>
      </c>
      <c r="F3">
        <f>Table8[[#This Row],[Column1]]*Table8[[#This Row],[Column2]]+Table8[[#This Row],[Column3]]</f>
        <v>5</v>
      </c>
      <c r="H3" t="s">
        <v>61</v>
      </c>
    </row>
    <row r="4" spans="2:8" x14ac:dyDescent="0.2">
      <c r="B4">
        <v>5</v>
      </c>
      <c r="C4">
        <v>6</v>
      </c>
      <c r="D4">
        <v>7</v>
      </c>
      <c r="E4">
        <v>89</v>
      </c>
      <c r="F4">
        <f>Table8[[#This Row],[Column1]]*Table8[[#This Row],[Column2]]+Table8[[#This Row],[Column3]]</f>
        <v>37</v>
      </c>
    </row>
    <row r="5" spans="2:8" x14ac:dyDescent="0.2">
      <c r="B5">
        <v>10</v>
      </c>
      <c r="C5">
        <v>12</v>
      </c>
      <c r="D5">
        <v>1</v>
      </c>
      <c r="E5">
        <v>1</v>
      </c>
      <c r="F5">
        <f>Table8[[#This Row],[Column1]]*Table8[[#This Row],[Column2]]+Table8[[#This Row],[Column3]]</f>
        <v>121</v>
      </c>
    </row>
    <row r="6" spans="2:8" x14ac:dyDescent="0.2">
      <c r="B6">
        <v>123</v>
      </c>
      <c r="C6">
        <v>3</v>
      </c>
      <c r="D6">
        <v>4</v>
      </c>
      <c r="E6">
        <v>4</v>
      </c>
      <c r="F6">
        <f>Table8[[#This Row],[Column1]]*Table8[[#This Row],[Column2]]+Table8[[#This Row],[Column3]]</f>
        <v>373</v>
      </c>
    </row>
    <row r="7" spans="2:8" x14ac:dyDescent="0.2">
      <c r="B7">
        <v>12</v>
      </c>
      <c r="C7">
        <v>2</v>
      </c>
      <c r="D7">
        <v>2</v>
      </c>
      <c r="F7">
        <f>Table8[[#This Row],[Column1]]*Table8[[#This Row],[Column2]]+Table8[[#This Row],[Column3]]</f>
        <v>26</v>
      </c>
    </row>
    <row r="8" spans="2:8" x14ac:dyDescent="0.2">
      <c r="B8">
        <f>SUBTOTAL(105,Table8[Column1])</f>
        <v>1</v>
      </c>
      <c r="C8">
        <f>SUBTOTAL(109,Table8[Column2])</f>
        <v>25</v>
      </c>
      <c r="D8">
        <f>SUBTOTAL(9,Table8[Column3])</f>
        <v>17</v>
      </c>
      <c r="E8">
        <f>SUBTOTAL(109,Table8[Column4])</f>
        <v>98</v>
      </c>
      <c r="F8">
        <f>SUBTOTAL(101,Table8[Column5])</f>
        <v>112.4</v>
      </c>
    </row>
    <row r="11" spans="2:8" x14ac:dyDescent="0.2">
      <c r="E11">
        <f>SUM(Table8[#Data])</f>
        <v>853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6AB3B-025F-D442-B8C0-62CD2364AA9F}">
  <dimension ref="A1:E17"/>
  <sheetViews>
    <sheetView workbookViewId="0">
      <selection activeCell="C26" sqref="C26"/>
    </sheetView>
  </sheetViews>
  <sheetFormatPr baseColWidth="10" defaultRowHeight="16" x14ac:dyDescent="0.2"/>
  <cols>
    <col min="4" max="4" width="11" customWidth="1"/>
    <col min="5" max="5" width="25" customWidth="1"/>
  </cols>
  <sheetData>
    <row r="1" spans="1:5" x14ac:dyDescent="0.2">
      <c r="A1" t="s">
        <v>7</v>
      </c>
      <c r="B1" t="s">
        <v>68</v>
      </c>
      <c r="C1" t="s">
        <v>62</v>
      </c>
      <c r="D1" t="s">
        <v>63</v>
      </c>
      <c r="E1" t="s">
        <v>66</v>
      </c>
    </row>
    <row r="2" spans="1:5" x14ac:dyDescent="0.2">
      <c r="B2">
        <v>1</v>
      </c>
      <c r="C2">
        <v>2</v>
      </c>
      <c r="D2">
        <v>3</v>
      </c>
      <c r="E2">
        <f>SUBTOTAL(109,Table9[[#This Row],[Hi, ''This]:['[Not me']]])</f>
        <v>6</v>
      </c>
    </row>
    <row r="3" spans="1:5" x14ac:dyDescent="0.2">
      <c r="B3">
        <v>4</v>
      </c>
      <c r="C3">
        <v>5</v>
      </c>
      <c r="D3">
        <v>6</v>
      </c>
      <c r="E3">
        <f>SUBTOTAL(109,Table9[[#This Row],[Hi, ''This]:['[Not me']]])</f>
        <v>15</v>
      </c>
    </row>
    <row r="4" spans="1:5" x14ac:dyDescent="0.2">
      <c r="B4" t="s">
        <v>64</v>
      </c>
      <c r="C4" t="s">
        <v>65</v>
      </c>
      <c r="D4" t="s">
        <v>65</v>
      </c>
      <c r="E4">
        <f>SUBTOTAL(109,Table9[[#This Row],[Hi, ''This]:['[Not me']]])</f>
        <v>0</v>
      </c>
    </row>
    <row r="5" spans="1:5" x14ac:dyDescent="0.2">
      <c r="B5">
        <v>1</v>
      </c>
      <c r="C5">
        <v>3</v>
      </c>
      <c r="D5">
        <v>2</v>
      </c>
      <c r="E5">
        <f>SUBTOTAL(109,Table9[[#This Row],[Hi, ''This]:['[Not me']]])</f>
        <v>6</v>
      </c>
    </row>
    <row r="6" spans="1:5" x14ac:dyDescent="0.2">
      <c r="A6" t="s">
        <v>6</v>
      </c>
      <c r="B6">
        <f>SUBTOTAL(105,Table9[Hi, ''This])</f>
        <v>1</v>
      </c>
      <c r="C6">
        <f>SUBTOTAL(109,Table9['#Shame])</f>
        <v>10</v>
      </c>
      <c r="D6">
        <f>SUBTOTAL(103,Table9['[Not me']])</f>
        <v>4</v>
      </c>
      <c r="E6">
        <f>SUM(Table9[Totals '[']^&amp;*@'#$,,&lt;&gt;])</f>
        <v>27</v>
      </c>
    </row>
    <row r="7" spans="1:5" x14ac:dyDescent="0.2">
      <c r="C7">
        <f>SUBTOTAL(10,B2:E3)</f>
        <v>3.5</v>
      </c>
    </row>
    <row r="8" spans="1:5" x14ac:dyDescent="0.2">
      <c r="C8">
        <f>SUBTOTAL(11,Table9[#Data])</f>
        <v>2.6666666666666665</v>
      </c>
    </row>
    <row r="9" spans="1:5" x14ac:dyDescent="0.2">
      <c r="C9">
        <f>SUBTOTAL(110,A2:E8)</f>
        <v>60.266666666666666</v>
      </c>
    </row>
    <row r="10" spans="1:5" x14ac:dyDescent="0.2">
      <c r="C10">
        <f>SUBTOTAL(111,A2:E8)</f>
        <v>54.24</v>
      </c>
    </row>
    <row r="17" spans="5:5" x14ac:dyDescent="0.2">
      <c r="E17">
        <f ca="1">_xlfn.SHEET("Filters")</f>
        <v>4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39324-B322-A545-9A5B-8F828FE81105}">
  <dimension ref="A4:D12"/>
  <sheetViews>
    <sheetView workbookViewId="0">
      <selection activeCell="A12" sqref="A12"/>
    </sheetView>
  </sheetViews>
  <sheetFormatPr baseColWidth="10" defaultRowHeight="16" x14ac:dyDescent="0.2"/>
  <sheetData>
    <row r="4" spans="1:4" x14ac:dyDescent="0.2">
      <c r="A4" t="s">
        <v>69</v>
      </c>
    </row>
    <row r="5" spans="1:4" x14ac:dyDescent="0.2">
      <c r="A5">
        <f ca="1">_xlfn.SHEET(Table1[])</f>
        <v>1</v>
      </c>
      <c r="B5" t="s">
        <v>70</v>
      </c>
      <c r="D5">
        <f ca="1">_xlfn.SHEET("Hidden")</f>
        <v>3</v>
      </c>
    </row>
    <row r="6" spans="1:4" x14ac:dyDescent="0.2">
      <c r="A6">
        <f ca="1">_xlfn.SHEET(Table2[])</f>
        <v>2</v>
      </c>
      <c r="D6" t="e">
        <f ca="1">_xlfn.SHEET(1)</f>
        <v>#N/A</v>
      </c>
    </row>
    <row r="7" spans="1:4" x14ac:dyDescent="0.2">
      <c r="A7">
        <f ca="1">_xlfn.SHEET(Table3[])</f>
        <v>3</v>
      </c>
    </row>
    <row r="8" spans="1:4" x14ac:dyDescent="0.2">
      <c r="A8">
        <f ca="1">_xlfn.SHEET(Table4[])</f>
        <v>4</v>
      </c>
    </row>
    <row r="10" spans="1:4" x14ac:dyDescent="0.2">
      <c r="A10" t="s">
        <v>72</v>
      </c>
    </row>
    <row r="11" spans="1:4" x14ac:dyDescent="0.2">
      <c r="A11">
        <f ca="1">_xlfn.SHEET(Fancy)</f>
        <v>2</v>
      </c>
    </row>
    <row r="12" spans="1:4" x14ac:dyDescent="0.2">
      <c r="A12" t="e">
        <f ca="1">_xlfn.SHEET(Hello)</f>
        <v>#NAME?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WithHeaders</vt:lpstr>
      <vt:lpstr>Sheet2</vt:lpstr>
      <vt:lpstr>Hidden</vt:lpstr>
      <vt:lpstr>filters</vt:lpstr>
      <vt:lpstr>Functions Filters</vt:lpstr>
      <vt:lpstr>Functions Hidden</vt:lpstr>
      <vt:lpstr>No Headers</vt:lpstr>
      <vt:lpstr>Escape</vt:lpstr>
      <vt:lpstr>Sheet1</vt:lpstr>
      <vt:lpstr>Fancy</vt:lpstr>
      <vt:lpstr>'Functions Filters'!Hello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2023-03-17T11:01:31Z</dcterms:created>
  <dcterms:modified xsi:type="dcterms:W3CDTF">2023-03-21T14:49:42Z</dcterms:modified>
</cp:coreProperties>
</file>